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shamkhalil/Desktop/DataCamp/DA using Excel/"/>
    </mc:Choice>
  </mc:AlternateContent>
  <xr:revisionPtr revIDLastSave="0" documentId="13_ncr:1_{16F178B4-59AB-844D-90C3-E926A3704458}" xr6:coauthVersionLast="47" xr6:coauthVersionMax="47" xr10:uidLastSave="{00000000-0000-0000-0000-000000000000}"/>
  <bookViews>
    <workbookView xWindow="320" yWindow="500" windowWidth="28040" windowHeight="16460" activeTab="1" xr2:uid="{00000000-000D-0000-FFFF-FFFF00000000}"/>
  </bookViews>
  <sheets>
    <sheet name="Games (exercises)" sheetId="3" r:id="rId1"/>
    <sheet name="Processed Games" sheetId="7" r:id="rId2"/>
    <sheet name="Questions" sheetId="6" r:id="rId3"/>
    <sheet name="Date Tables" sheetId="5" r:id="rId4"/>
    <sheet name="Exchange Rate table" sheetId="2" r:id="rId5"/>
    <sheet name="Wearables (example)" sheetId="4" r:id="rId6"/>
  </sheets>
  <definedNames>
    <definedName name="Backers">Table5[backers_count]</definedName>
    <definedName name="Games">Table5[]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1" i="7" l="1"/>
  <c r="X15" i="7" a="1"/>
  <c r="Y19" i="7" s="1"/>
  <c r="Y12" i="7"/>
  <c r="Y11" i="7"/>
  <c r="Y10" i="7"/>
  <c r="Y9" i="7"/>
  <c r="Y8" i="7"/>
  <c r="Y5" i="7"/>
  <c r="Y3" i="7" a="1"/>
  <c r="Y3" i="7" s="1"/>
  <c r="AC2" i="7" a="1"/>
  <c r="Y2" i="7"/>
  <c r="AL21" i="3"/>
  <c r="AS3" i="3"/>
  <c r="AS4" i="3"/>
  <c r="AS5" i="3"/>
  <c r="AS6" i="3"/>
  <c r="AS7" i="3"/>
  <c r="AS8" i="3"/>
  <c r="AS9" i="3"/>
  <c r="AS10" i="3"/>
  <c r="AS11" i="3"/>
  <c r="AS12" i="3"/>
  <c r="AS13" i="3"/>
  <c r="AS14" i="3"/>
  <c r="AS15" i="3"/>
  <c r="AS16" i="3"/>
  <c r="AS17" i="3"/>
  <c r="AS2" i="3"/>
  <c r="AL12" i="3"/>
  <c r="AL11" i="3"/>
  <c r="AL10" i="3"/>
  <c r="AL9" i="3"/>
  <c r="AL8" i="3"/>
  <c r="AE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8" i="3"/>
  <c r="AE149" i="3"/>
  <c r="AE150" i="3"/>
  <c r="AE151" i="3"/>
  <c r="AE152" i="3"/>
  <c r="AE153" i="3"/>
  <c r="W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Y2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AB2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C45" i="3" s="1"/>
  <c r="AB46" i="3"/>
  <c r="AB47" i="3"/>
  <c r="AC47" i="3" s="1"/>
  <c r="AB48" i="3"/>
  <c r="AC48" i="3" s="1"/>
  <c r="AB49" i="3"/>
  <c r="AC49" i="3" s="1"/>
  <c r="AB50" i="3"/>
  <c r="AC50" i="3" s="1"/>
  <c r="AB51" i="3"/>
  <c r="AC51" i="3" s="1"/>
  <c r="AB52" i="3"/>
  <c r="AC52" i="3" s="1"/>
  <c r="AB53" i="3"/>
  <c r="AC53" i="3" s="1"/>
  <c r="AB54" i="3"/>
  <c r="AC54" i="3" s="1"/>
  <c r="AB55" i="3"/>
  <c r="AC55" i="3" s="1"/>
  <c r="AB56" i="3"/>
  <c r="AC56" i="3" s="1"/>
  <c r="AB57" i="3"/>
  <c r="AC57" i="3" s="1"/>
  <c r="AB58" i="3"/>
  <c r="AC58" i="3" s="1"/>
  <c r="AB59" i="3"/>
  <c r="AC59" i="3" s="1"/>
  <c r="AB60" i="3"/>
  <c r="AC60" i="3" s="1"/>
  <c r="AB61" i="3"/>
  <c r="AB62" i="3"/>
  <c r="AB63" i="3"/>
  <c r="AC63" i="3" s="1"/>
  <c r="AB64" i="3"/>
  <c r="AC64" i="3" s="1"/>
  <c r="AB65" i="3"/>
  <c r="AC65" i="3" s="1"/>
  <c r="AB66" i="3"/>
  <c r="AC66" i="3" s="1"/>
  <c r="AB67" i="3"/>
  <c r="AC67" i="3" s="1"/>
  <c r="AB68" i="3"/>
  <c r="AC68" i="3" s="1"/>
  <c r="AB69" i="3"/>
  <c r="AC69" i="3" s="1"/>
  <c r="AB70" i="3"/>
  <c r="AC70" i="3" s="1"/>
  <c r="AB71" i="3"/>
  <c r="AC71" i="3" s="1"/>
  <c r="AB72" i="3"/>
  <c r="AC72" i="3" s="1"/>
  <c r="AB73" i="3"/>
  <c r="AC73" i="3" s="1"/>
  <c r="AB74" i="3"/>
  <c r="AC74" i="3" s="1"/>
  <c r="AB75" i="3"/>
  <c r="AC75" i="3" s="1"/>
  <c r="AB76" i="3"/>
  <c r="AC76" i="3" s="1"/>
  <c r="AB77" i="3"/>
  <c r="AB78" i="3"/>
  <c r="AB79" i="3"/>
  <c r="AC79" i="3" s="1"/>
  <c r="AB80" i="3"/>
  <c r="AB81" i="3"/>
  <c r="AC81" i="3" s="1"/>
  <c r="AB82" i="3"/>
  <c r="AC82" i="3" s="1"/>
  <c r="AB83" i="3"/>
  <c r="AC83" i="3" s="1"/>
  <c r="AB84" i="3"/>
  <c r="AC84" i="3" s="1"/>
  <c r="AB85" i="3"/>
  <c r="AC85" i="3" s="1"/>
  <c r="AB86" i="3"/>
  <c r="AC86" i="3" s="1"/>
  <c r="AB87" i="3"/>
  <c r="AC87" i="3" s="1"/>
  <c r="AB88" i="3"/>
  <c r="AC88" i="3" s="1"/>
  <c r="AB89" i="3"/>
  <c r="AC89" i="3" s="1"/>
  <c r="AB90" i="3"/>
  <c r="AC90" i="3" s="1"/>
  <c r="AB91" i="3"/>
  <c r="AC91" i="3" s="1"/>
  <c r="AB92" i="3"/>
  <c r="AC92" i="3" s="1"/>
  <c r="AB93" i="3"/>
  <c r="AC93" i="3" s="1"/>
  <c r="AB94" i="3"/>
  <c r="AB95" i="3"/>
  <c r="AC95" i="3" s="1"/>
  <c r="AB96" i="3"/>
  <c r="AC96" i="3" s="1"/>
  <c r="AB97" i="3"/>
  <c r="AC97" i="3" s="1"/>
  <c r="AB98" i="3"/>
  <c r="AC98" i="3" s="1"/>
  <c r="AB99" i="3"/>
  <c r="AC99" i="3" s="1"/>
  <c r="AB100" i="3"/>
  <c r="AC100" i="3" s="1"/>
  <c r="AB101" i="3"/>
  <c r="AC101" i="3" s="1"/>
  <c r="AB102" i="3"/>
  <c r="AC102" i="3" s="1"/>
  <c r="AB103" i="3"/>
  <c r="AC103" i="3" s="1"/>
  <c r="AB104" i="3"/>
  <c r="AC104" i="3" s="1"/>
  <c r="AB105" i="3"/>
  <c r="AC105" i="3" s="1"/>
  <c r="AB106" i="3"/>
  <c r="AC106" i="3" s="1"/>
  <c r="AB107" i="3"/>
  <c r="AC107" i="3" s="1"/>
  <c r="AB108" i="3"/>
  <c r="AC108" i="3" s="1"/>
  <c r="AB109" i="3"/>
  <c r="AB110" i="3"/>
  <c r="AB111" i="3"/>
  <c r="AC111" i="3" s="1"/>
  <c r="AB112" i="3"/>
  <c r="AC112" i="3" s="1"/>
  <c r="AB113" i="3"/>
  <c r="AC113" i="3" s="1"/>
  <c r="AB114" i="3"/>
  <c r="AC114" i="3" s="1"/>
  <c r="AB115" i="3"/>
  <c r="AC115" i="3" s="1"/>
  <c r="AB116" i="3"/>
  <c r="AC116" i="3" s="1"/>
  <c r="AB117" i="3"/>
  <c r="AC117" i="3" s="1"/>
  <c r="AB118" i="3"/>
  <c r="AC118" i="3" s="1"/>
  <c r="AB119" i="3"/>
  <c r="AC119" i="3" s="1"/>
  <c r="AB120" i="3"/>
  <c r="AC120" i="3" s="1"/>
  <c r="AB121" i="3"/>
  <c r="AC121" i="3" s="1"/>
  <c r="AB122" i="3"/>
  <c r="AC122" i="3" s="1"/>
  <c r="AB123" i="3"/>
  <c r="AC123" i="3" s="1"/>
  <c r="AB124" i="3"/>
  <c r="AC124" i="3" s="1"/>
  <c r="AB125" i="3"/>
  <c r="AB126" i="3"/>
  <c r="AB127" i="3"/>
  <c r="AC127" i="3" s="1"/>
  <c r="AB128" i="3"/>
  <c r="AC128" i="3" s="1"/>
  <c r="AB129" i="3"/>
  <c r="AC129" i="3" s="1"/>
  <c r="AB130" i="3"/>
  <c r="AC130" i="3" s="1"/>
  <c r="AB131" i="3"/>
  <c r="AC131" i="3" s="1"/>
  <c r="AB132" i="3"/>
  <c r="AC132" i="3" s="1"/>
  <c r="AB133" i="3"/>
  <c r="AC133" i="3" s="1"/>
  <c r="AB134" i="3"/>
  <c r="AC134" i="3" s="1"/>
  <c r="AB135" i="3"/>
  <c r="AC135" i="3" s="1"/>
  <c r="AB136" i="3"/>
  <c r="AC136" i="3" s="1"/>
  <c r="AB137" i="3"/>
  <c r="AC137" i="3" s="1"/>
  <c r="AB138" i="3"/>
  <c r="AC138" i="3" s="1"/>
  <c r="AB139" i="3"/>
  <c r="AC139" i="3" s="1"/>
  <c r="AB140" i="3"/>
  <c r="AC140" i="3" s="1"/>
  <c r="AB141" i="3"/>
  <c r="AB142" i="3"/>
  <c r="AB143" i="3"/>
  <c r="AC143" i="3" s="1"/>
  <c r="AB144" i="3"/>
  <c r="AC144" i="3" s="1"/>
  <c r="AB145" i="3"/>
  <c r="AC145" i="3" s="1"/>
  <c r="AB146" i="3"/>
  <c r="AC146" i="3" s="1"/>
  <c r="AB147" i="3"/>
  <c r="AC147" i="3" s="1"/>
  <c r="AB148" i="3"/>
  <c r="AC148" i="3" s="1"/>
  <c r="AB149" i="3"/>
  <c r="AC149" i="3" s="1"/>
  <c r="AB150" i="3"/>
  <c r="AC150" i="3" s="1"/>
  <c r="AB151" i="3"/>
  <c r="AC151" i="3" s="1"/>
  <c r="AB152" i="3"/>
  <c r="AC152" i="3" s="1"/>
  <c r="AB153" i="3"/>
  <c r="AC153" i="3" s="1"/>
  <c r="AC2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6" i="3"/>
  <c r="AC61" i="3"/>
  <c r="AC62" i="3"/>
  <c r="AC77" i="3"/>
  <c r="AC78" i="3"/>
  <c r="AC80" i="3"/>
  <c r="AC94" i="3"/>
  <c r="AC109" i="3"/>
  <c r="AC110" i="3"/>
  <c r="AC125" i="3"/>
  <c r="AC126" i="3"/>
  <c r="AC141" i="3"/>
  <c r="AC142" i="3"/>
  <c r="AA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T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O2" i="3"/>
  <c r="Q2" i="3" s="1"/>
  <c r="R2" i="3" s="1"/>
  <c r="O3" i="3"/>
  <c r="Q3" i="3" s="1"/>
  <c r="R3" i="3" s="1"/>
  <c r="O4" i="3"/>
  <c r="Q4" i="3" s="1"/>
  <c r="R4" i="3" s="1"/>
  <c r="O5" i="3"/>
  <c r="Q5" i="3" s="1"/>
  <c r="R5" i="3" s="1"/>
  <c r="O6" i="3"/>
  <c r="Q6" i="3" s="1"/>
  <c r="R6" i="3" s="1"/>
  <c r="O7" i="3"/>
  <c r="Q7" i="3" s="1"/>
  <c r="R7" i="3" s="1"/>
  <c r="O8" i="3"/>
  <c r="Q8" i="3" s="1"/>
  <c r="R8" i="3" s="1"/>
  <c r="O9" i="3"/>
  <c r="Q9" i="3" s="1"/>
  <c r="R9" i="3" s="1"/>
  <c r="O10" i="3"/>
  <c r="Q10" i="3" s="1"/>
  <c r="R10" i="3" s="1"/>
  <c r="O11" i="3"/>
  <c r="Q11" i="3" s="1"/>
  <c r="R11" i="3" s="1"/>
  <c r="O12" i="3"/>
  <c r="Q12" i="3" s="1"/>
  <c r="R12" i="3" s="1"/>
  <c r="O13" i="3"/>
  <c r="Q13" i="3" s="1"/>
  <c r="R13" i="3" s="1"/>
  <c r="O14" i="3"/>
  <c r="Q14" i="3" s="1"/>
  <c r="R14" i="3" s="1"/>
  <c r="O15" i="3"/>
  <c r="Q15" i="3" s="1"/>
  <c r="R15" i="3" s="1"/>
  <c r="O16" i="3"/>
  <c r="Q16" i="3" s="1"/>
  <c r="R16" i="3" s="1"/>
  <c r="O17" i="3"/>
  <c r="Q17" i="3" s="1"/>
  <c r="R17" i="3" s="1"/>
  <c r="O18" i="3"/>
  <c r="Q18" i="3" s="1"/>
  <c r="R18" i="3" s="1"/>
  <c r="O19" i="3"/>
  <c r="Q19" i="3" s="1"/>
  <c r="R19" i="3" s="1"/>
  <c r="O20" i="3"/>
  <c r="Q20" i="3" s="1"/>
  <c r="R20" i="3" s="1"/>
  <c r="O21" i="3"/>
  <c r="Q21" i="3" s="1"/>
  <c r="R21" i="3" s="1"/>
  <c r="O22" i="3"/>
  <c r="Q22" i="3" s="1"/>
  <c r="R22" i="3" s="1"/>
  <c r="O23" i="3"/>
  <c r="Q23" i="3" s="1"/>
  <c r="R23" i="3" s="1"/>
  <c r="O24" i="3"/>
  <c r="Q24" i="3" s="1"/>
  <c r="R24" i="3" s="1"/>
  <c r="O25" i="3"/>
  <c r="Q25" i="3" s="1"/>
  <c r="R25" i="3" s="1"/>
  <c r="O26" i="3"/>
  <c r="Q26" i="3" s="1"/>
  <c r="R26" i="3" s="1"/>
  <c r="O27" i="3"/>
  <c r="Q27" i="3" s="1"/>
  <c r="R27" i="3" s="1"/>
  <c r="O28" i="3"/>
  <c r="Q28" i="3" s="1"/>
  <c r="R28" i="3" s="1"/>
  <c r="O29" i="3"/>
  <c r="Q29" i="3" s="1"/>
  <c r="R29" i="3" s="1"/>
  <c r="O30" i="3"/>
  <c r="Q30" i="3" s="1"/>
  <c r="R30" i="3" s="1"/>
  <c r="O31" i="3"/>
  <c r="Q31" i="3" s="1"/>
  <c r="R31" i="3" s="1"/>
  <c r="O32" i="3"/>
  <c r="Q32" i="3" s="1"/>
  <c r="R32" i="3" s="1"/>
  <c r="O33" i="3"/>
  <c r="Q33" i="3" s="1"/>
  <c r="R33" i="3" s="1"/>
  <c r="O34" i="3"/>
  <c r="Q34" i="3" s="1"/>
  <c r="R34" i="3" s="1"/>
  <c r="O35" i="3"/>
  <c r="Q35" i="3" s="1"/>
  <c r="R35" i="3" s="1"/>
  <c r="O36" i="3"/>
  <c r="Q36" i="3" s="1"/>
  <c r="R36" i="3" s="1"/>
  <c r="O37" i="3"/>
  <c r="Q37" i="3" s="1"/>
  <c r="R37" i="3" s="1"/>
  <c r="O38" i="3"/>
  <c r="Q38" i="3" s="1"/>
  <c r="R38" i="3" s="1"/>
  <c r="O39" i="3"/>
  <c r="Q39" i="3" s="1"/>
  <c r="R39" i="3" s="1"/>
  <c r="O40" i="3"/>
  <c r="Q40" i="3" s="1"/>
  <c r="R40" i="3" s="1"/>
  <c r="O41" i="3"/>
  <c r="Q41" i="3" s="1"/>
  <c r="R41" i="3" s="1"/>
  <c r="O42" i="3"/>
  <c r="Q42" i="3" s="1"/>
  <c r="R42" i="3" s="1"/>
  <c r="O43" i="3"/>
  <c r="Q43" i="3" s="1"/>
  <c r="R43" i="3" s="1"/>
  <c r="O44" i="3"/>
  <c r="Q44" i="3" s="1"/>
  <c r="R44" i="3" s="1"/>
  <c r="O45" i="3"/>
  <c r="Q45" i="3" s="1"/>
  <c r="R45" i="3" s="1"/>
  <c r="O46" i="3"/>
  <c r="Q46" i="3" s="1"/>
  <c r="R46" i="3" s="1"/>
  <c r="O47" i="3"/>
  <c r="Q47" i="3" s="1"/>
  <c r="R47" i="3" s="1"/>
  <c r="O48" i="3"/>
  <c r="Q48" i="3" s="1"/>
  <c r="R48" i="3" s="1"/>
  <c r="O49" i="3"/>
  <c r="Q49" i="3" s="1"/>
  <c r="R49" i="3" s="1"/>
  <c r="O50" i="3"/>
  <c r="Q50" i="3" s="1"/>
  <c r="R50" i="3" s="1"/>
  <c r="O51" i="3"/>
  <c r="Q51" i="3" s="1"/>
  <c r="R51" i="3" s="1"/>
  <c r="O52" i="3"/>
  <c r="Q52" i="3" s="1"/>
  <c r="R52" i="3" s="1"/>
  <c r="O53" i="3"/>
  <c r="Q53" i="3" s="1"/>
  <c r="R53" i="3" s="1"/>
  <c r="O54" i="3"/>
  <c r="Q54" i="3" s="1"/>
  <c r="R54" i="3" s="1"/>
  <c r="O55" i="3"/>
  <c r="Q55" i="3" s="1"/>
  <c r="R55" i="3" s="1"/>
  <c r="O56" i="3"/>
  <c r="Q56" i="3" s="1"/>
  <c r="R56" i="3" s="1"/>
  <c r="O57" i="3"/>
  <c r="Q57" i="3" s="1"/>
  <c r="R57" i="3" s="1"/>
  <c r="O58" i="3"/>
  <c r="Q58" i="3" s="1"/>
  <c r="R58" i="3" s="1"/>
  <c r="O59" i="3"/>
  <c r="Q59" i="3" s="1"/>
  <c r="R59" i="3" s="1"/>
  <c r="O60" i="3"/>
  <c r="Q60" i="3" s="1"/>
  <c r="R60" i="3" s="1"/>
  <c r="O61" i="3"/>
  <c r="Q61" i="3" s="1"/>
  <c r="R61" i="3" s="1"/>
  <c r="O62" i="3"/>
  <c r="Q62" i="3" s="1"/>
  <c r="R62" i="3" s="1"/>
  <c r="O63" i="3"/>
  <c r="Q63" i="3" s="1"/>
  <c r="R63" i="3" s="1"/>
  <c r="O64" i="3"/>
  <c r="Q64" i="3" s="1"/>
  <c r="R64" i="3" s="1"/>
  <c r="O65" i="3"/>
  <c r="Q65" i="3" s="1"/>
  <c r="R65" i="3" s="1"/>
  <c r="O66" i="3"/>
  <c r="Q66" i="3" s="1"/>
  <c r="R66" i="3" s="1"/>
  <c r="O67" i="3"/>
  <c r="Q67" i="3" s="1"/>
  <c r="R67" i="3" s="1"/>
  <c r="O68" i="3"/>
  <c r="Q68" i="3" s="1"/>
  <c r="R68" i="3" s="1"/>
  <c r="O69" i="3"/>
  <c r="Q69" i="3" s="1"/>
  <c r="R69" i="3" s="1"/>
  <c r="O70" i="3"/>
  <c r="Q70" i="3" s="1"/>
  <c r="R70" i="3" s="1"/>
  <c r="O71" i="3"/>
  <c r="Q71" i="3" s="1"/>
  <c r="R71" i="3" s="1"/>
  <c r="O72" i="3"/>
  <c r="Q72" i="3" s="1"/>
  <c r="R72" i="3" s="1"/>
  <c r="O73" i="3"/>
  <c r="Q73" i="3" s="1"/>
  <c r="R73" i="3" s="1"/>
  <c r="O74" i="3"/>
  <c r="Q74" i="3" s="1"/>
  <c r="R74" i="3" s="1"/>
  <c r="O75" i="3"/>
  <c r="Q75" i="3" s="1"/>
  <c r="R75" i="3" s="1"/>
  <c r="O76" i="3"/>
  <c r="Q76" i="3" s="1"/>
  <c r="R76" i="3" s="1"/>
  <c r="O77" i="3"/>
  <c r="Q77" i="3" s="1"/>
  <c r="R77" i="3" s="1"/>
  <c r="O78" i="3"/>
  <c r="Q78" i="3" s="1"/>
  <c r="R78" i="3" s="1"/>
  <c r="O79" i="3"/>
  <c r="Q79" i="3" s="1"/>
  <c r="R79" i="3" s="1"/>
  <c r="O80" i="3"/>
  <c r="Q80" i="3" s="1"/>
  <c r="R80" i="3" s="1"/>
  <c r="O81" i="3"/>
  <c r="Q81" i="3" s="1"/>
  <c r="R81" i="3" s="1"/>
  <c r="O82" i="3"/>
  <c r="Q82" i="3" s="1"/>
  <c r="R82" i="3" s="1"/>
  <c r="O83" i="3"/>
  <c r="Q83" i="3" s="1"/>
  <c r="R83" i="3" s="1"/>
  <c r="O84" i="3"/>
  <c r="Q84" i="3" s="1"/>
  <c r="R84" i="3" s="1"/>
  <c r="O85" i="3"/>
  <c r="Q85" i="3" s="1"/>
  <c r="R85" i="3" s="1"/>
  <c r="O86" i="3"/>
  <c r="Q86" i="3" s="1"/>
  <c r="R86" i="3" s="1"/>
  <c r="O87" i="3"/>
  <c r="Q87" i="3" s="1"/>
  <c r="R87" i="3" s="1"/>
  <c r="O88" i="3"/>
  <c r="Q88" i="3" s="1"/>
  <c r="R88" i="3" s="1"/>
  <c r="O89" i="3"/>
  <c r="Q89" i="3" s="1"/>
  <c r="R89" i="3" s="1"/>
  <c r="O90" i="3"/>
  <c r="Q90" i="3" s="1"/>
  <c r="R90" i="3" s="1"/>
  <c r="O91" i="3"/>
  <c r="Q91" i="3" s="1"/>
  <c r="R91" i="3" s="1"/>
  <c r="O92" i="3"/>
  <c r="Q92" i="3" s="1"/>
  <c r="R92" i="3" s="1"/>
  <c r="O93" i="3"/>
  <c r="Q93" i="3" s="1"/>
  <c r="R93" i="3" s="1"/>
  <c r="O94" i="3"/>
  <c r="Q94" i="3" s="1"/>
  <c r="R94" i="3" s="1"/>
  <c r="O95" i="3"/>
  <c r="Q95" i="3" s="1"/>
  <c r="R95" i="3" s="1"/>
  <c r="O96" i="3"/>
  <c r="Q96" i="3" s="1"/>
  <c r="R96" i="3" s="1"/>
  <c r="O97" i="3"/>
  <c r="Q97" i="3" s="1"/>
  <c r="R97" i="3" s="1"/>
  <c r="O98" i="3"/>
  <c r="Q98" i="3" s="1"/>
  <c r="R98" i="3" s="1"/>
  <c r="O99" i="3"/>
  <c r="Q99" i="3" s="1"/>
  <c r="R99" i="3" s="1"/>
  <c r="O100" i="3"/>
  <c r="Q100" i="3" s="1"/>
  <c r="R100" i="3" s="1"/>
  <c r="O101" i="3"/>
  <c r="Q101" i="3" s="1"/>
  <c r="R101" i="3" s="1"/>
  <c r="O102" i="3"/>
  <c r="Q102" i="3" s="1"/>
  <c r="R102" i="3" s="1"/>
  <c r="O103" i="3"/>
  <c r="Q103" i="3" s="1"/>
  <c r="R103" i="3" s="1"/>
  <c r="O104" i="3"/>
  <c r="Q104" i="3" s="1"/>
  <c r="R104" i="3" s="1"/>
  <c r="O105" i="3"/>
  <c r="Q105" i="3" s="1"/>
  <c r="R105" i="3" s="1"/>
  <c r="O106" i="3"/>
  <c r="Q106" i="3" s="1"/>
  <c r="R106" i="3" s="1"/>
  <c r="O107" i="3"/>
  <c r="Q107" i="3" s="1"/>
  <c r="R107" i="3" s="1"/>
  <c r="O108" i="3"/>
  <c r="Q108" i="3" s="1"/>
  <c r="R108" i="3" s="1"/>
  <c r="O109" i="3"/>
  <c r="Q109" i="3" s="1"/>
  <c r="R109" i="3" s="1"/>
  <c r="O110" i="3"/>
  <c r="Q110" i="3" s="1"/>
  <c r="R110" i="3" s="1"/>
  <c r="O111" i="3"/>
  <c r="Q111" i="3" s="1"/>
  <c r="R111" i="3" s="1"/>
  <c r="O112" i="3"/>
  <c r="Q112" i="3" s="1"/>
  <c r="R112" i="3" s="1"/>
  <c r="O113" i="3"/>
  <c r="Q113" i="3" s="1"/>
  <c r="R113" i="3" s="1"/>
  <c r="O114" i="3"/>
  <c r="Q114" i="3" s="1"/>
  <c r="R114" i="3" s="1"/>
  <c r="O115" i="3"/>
  <c r="Q115" i="3" s="1"/>
  <c r="R115" i="3" s="1"/>
  <c r="O116" i="3"/>
  <c r="Q116" i="3" s="1"/>
  <c r="R116" i="3" s="1"/>
  <c r="O117" i="3"/>
  <c r="Q117" i="3" s="1"/>
  <c r="R117" i="3" s="1"/>
  <c r="O118" i="3"/>
  <c r="Q118" i="3" s="1"/>
  <c r="R118" i="3" s="1"/>
  <c r="O119" i="3"/>
  <c r="Q119" i="3" s="1"/>
  <c r="R119" i="3" s="1"/>
  <c r="O120" i="3"/>
  <c r="Q120" i="3" s="1"/>
  <c r="R120" i="3" s="1"/>
  <c r="O121" i="3"/>
  <c r="Q121" i="3" s="1"/>
  <c r="R121" i="3" s="1"/>
  <c r="O122" i="3"/>
  <c r="Q122" i="3" s="1"/>
  <c r="R122" i="3" s="1"/>
  <c r="O123" i="3"/>
  <c r="Q123" i="3" s="1"/>
  <c r="R123" i="3" s="1"/>
  <c r="O124" i="3"/>
  <c r="Q124" i="3" s="1"/>
  <c r="R124" i="3" s="1"/>
  <c r="O125" i="3"/>
  <c r="Q125" i="3" s="1"/>
  <c r="R125" i="3" s="1"/>
  <c r="O126" i="3"/>
  <c r="Q126" i="3" s="1"/>
  <c r="R126" i="3" s="1"/>
  <c r="O127" i="3"/>
  <c r="Q127" i="3" s="1"/>
  <c r="R127" i="3" s="1"/>
  <c r="O128" i="3"/>
  <c r="Q128" i="3" s="1"/>
  <c r="R128" i="3" s="1"/>
  <c r="O129" i="3"/>
  <c r="Q129" i="3" s="1"/>
  <c r="R129" i="3" s="1"/>
  <c r="O130" i="3"/>
  <c r="Q130" i="3" s="1"/>
  <c r="R130" i="3" s="1"/>
  <c r="O131" i="3"/>
  <c r="Q131" i="3" s="1"/>
  <c r="R131" i="3" s="1"/>
  <c r="O132" i="3"/>
  <c r="Q132" i="3" s="1"/>
  <c r="R132" i="3" s="1"/>
  <c r="O133" i="3"/>
  <c r="Q133" i="3" s="1"/>
  <c r="R133" i="3" s="1"/>
  <c r="O134" i="3"/>
  <c r="Q134" i="3" s="1"/>
  <c r="R134" i="3" s="1"/>
  <c r="O135" i="3"/>
  <c r="Q135" i="3" s="1"/>
  <c r="R135" i="3" s="1"/>
  <c r="O136" i="3"/>
  <c r="Q136" i="3" s="1"/>
  <c r="R136" i="3" s="1"/>
  <c r="O137" i="3"/>
  <c r="Q137" i="3" s="1"/>
  <c r="R137" i="3" s="1"/>
  <c r="O138" i="3"/>
  <c r="Q138" i="3" s="1"/>
  <c r="R138" i="3" s="1"/>
  <c r="O139" i="3"/>
  <c r="Q139" i="3" s="1"/>
  <c r="R139" i="3" s="1"/>
  <c r="O140" i="3"/>
  <c r="Q140" i="3" s="1"/>
  <c r="R140" i="3" s="1"/>
  <c r="O141" i="3"/>
  <c r="Q141" i="3" s="1"/>
  <c r="R141" i="3" s="1"/>
  <c r="O142" i="3"/>
  <c r="Q142" i="3" s="1"/>
  <c r="R142" i="3" s="1"/>
  <c r="O143" i="3"/>
  <c r="Q143" i="3" s="1"/>
  <c r="R143" i="3" s="1"/>
  <c r="O144" i="3"/>
  <c r="Q144" i="3" s="1"/>
  <c r="R144" i="3" s="1"/>
  <c r="O145" i="3"/>
  <c r="Q145" i="3" s="1"/>
  <c r="R145" i="3" s="1"/>
  <c r="O146" i="3"/>
  <c r="Q146" i="3" s="1"/>
  <c r="R146" i="3" s="1"/>
  <c r="O147" i="3"/>
  <c r="Q147" i="3" s="1"/>
  <c r="R147" i="3" s="1"/>
  <c r="O148" i="3"/>
  <c r="Q148" i="3" s="1"/>
  <c r="R148" i="3" s="1"/>
  <c r="O149" i="3"/>
  <c r="Q149" i="3" s="1"/>
  <c r="R149" i="3" s="1"/>
  <c r="O150" i="3"/>
  <c r="Q150" i="3" s="1"/>
  <c r="R150" i="3" s="1"/>
  <c r="O151" i="3"/>
  <c r="Q151" i="3" s="1"/>
  <c r="R151" i="3" s="1"/>
  <c r="O152" i="3"/>
  <c r="Q152" i="3" s="1"/>
  <c r="R152" i="3" s="1"/>
  <c r="O153" i="3"/>
  <c r="Q153" i="3" s="1"/>
  <c r="R153" i="3" s="1"/>
  <c r="I3" i="3"/>
  <c r="L3" i="3" s="1"/>
  <c r="I4" i="3"/>
  <c r="L4" i="3" s="1"/>
  <c r="I5" i="3"/>
  <c r="L5" i="3" s="1"/>
  <c r="I6" i="3"/>
  <c r="L6" i="3" s="1"/>
  <c r="I7" i="3"/>
  <c r="L7" i="3" s="1"/>
  <c r="I8" i="3"/>
  <c r="L8" i="3" s="1"/>
  <c r="I9" i="3"/>
  <c r="L9" i="3" s="1"/>
  <c r="I10" i="3"/>
  <c r="L10" i="3" s="1"/>
  <c r="I11" i="3"/>
  <c r="L11" i="3" s="1"/>
  <c r="I12" i="3"/>
  <c r="L12" i="3" s="1"/>
  <c r="I13" i="3"/>
  <c r="L13" i="3" s="1"/>
  <c r="I14" i="3"/>
  <c r="L14" i="3" s="1"/>
  <c r="I15" i="3"/>
  <c r="L15" i="3" s="1"/>
  <c r="I16" i="3"/>
  <c r="L16" i="3" s="1"/>
  <c r="I17" i="3"/>
  <c r="L17" i="3" s="1"/>
  <c r="I18" i="3"/>
  <c r="L18" i="3" s="1"/>
  <c r="I19" i="3"/>
  <c r="L19" i="3" s="1"/>
  <c r="I20" i="3"/>
  <c r="L20" i="3" s="1"/>
  <c r="I21" i="3"/>
  <c r="L21" i="3" s="1"/>
  <c r="I22" i="3"/>
  <c r="L22" i="3" s="1"/>
  <c r="I23" i="3"/>
  <c r="L23" i="3" s="1"/>
  <c r="I24" i="3"/>
  <c r="L24" i="3" s="1"/>
  <c r="I25" i="3"/>
  <c r="L25" i="3" s="1"/>
  <c r="I26" i="3"/>
  <c r="L26" i="3" s="1"/>
  <c r="I27" i="3"/>
  <c r="L27" i="3" s="1"/>
  <c r="I28" i="3"/>
  <c r="L28" i="3" s="1"/>
  <c r="I29" i="3"/>
  <c r="L29" i="3" s="1"/>
  <c r="I30" i="3"/>
  <c r="L30" i="3" s="1"/>
  <c r="I31" i="3"/>
  <c r="L31" i="3" s="1"/>
  <c r="I32" i="3"/>
  <c r="L32" i="3" s="1"/>
  <c r="I33" i="3"/>
  <c r="L33" i="3" s="1"/>
  <c r="I34" i="3"/>
  <c r="L34" i="3" s="1"/>
  <c r="I35" i="3"/>
  <c r="L35" i="3" s="1"/>
  <c r="I36" i="3"/>
  <c r="L36" i="3" s="1"/>
  <c r="I37" i="3"/>
  <c r="L37" i="3" s="1"/>
  <c r="I38" i="3"/>
  <c r="L38" i="3" s="1"/>
  <c r="I39" i="3"/>
  <c r="L39" i="3" s="1"/>
  <c r="I40" i="3"/>
  <c r="L40" i="3" s="1"/>
  <c r="I41" i="3"/>
  <c r="L41" i="3" s="1"/>
  <c r="I42" i="3"/>
  <c r="L42" i="3" s="1"/>
  <c r="I43" i="3"/>
  <c r="L43" i="3" s="1"/>
  <c r="I44" i="3"/>
  <c r="L44" i="3" s="1"/>
  <c r="I45" i="3"/>
  <c r="L45" i="3" s="1"/>
  <c r="I46" i="3"/>
  <c r="L46" i="3" s="1"/>
  <c r="I47" i="3"/>
  <c r="L47" i="3" s="1"/>
  <c r="I48" i="3"/>
  <c r="L48" i="3" s="1"/>
  <c r="I49" i="3"/>
  <c r="L49" i="3" s="1"/>
  <c r="I50" i="3"/>
  <c r="L50" i="3" s="1"/>
  <c r="I51" i="3"/>
  <c r="L51" i="3" s="1"/>
  <c r="I52" i="3"/>
  <c r="L52" i="3" s="1"/>
  <c r="I53" i="3"/>
  <c r="L53" i="3" s="1"/>
  <c r="I54" i="3"/>
  <c r="L54" i="3" s="1"/>
  <c r="I55" i="3"/>
  <c r="L55" i="3" s="1"/>
  <c r="I56" i="3"/>
  <c r="L56" i="3" s="1"/>
  <c r="I57" i="3"/>
  <c r="L57" i="3" s="1"/>
  <c r="I58" i="3"/>
  <c r="L58" i="3" s="1"/>
  <c r="I59" i="3"/>
  <c r="L59" i="3" s="1"/>
  <c r="I60" i="3"/>
  <c r="L60" i="3" s="1"/>
  <c r="I61" i="3"/>
  <c r="L61" i="3" s="1"/>
  <c r="I62" i="3"/>
  <c r="L62" i="3" s="1"/>
  <c r="I63" i="3"/>
  <c r="L63" i="3" s="1"/>
  <c r="I64" i="3"/>
  <c r="L64" i="3" s="1"/>
  <c r="I65" i="3"/>
  <c r="L65" i="3" s="1"/>
  <c r="I66" i="3"/>
  <c r="L66" i="3" s="1"/>
  <c r="I67" i="3"/>
  <c r="L67" i="3" s="1"/>
  <c r="I68" i="3"/>
  <c r="L68" i="3" s="1"/>
  <c r="I69" i="3"/>
  <c r="L69" i="3" s="1"/>
  <c r="I70" i="3"/>
  <c r="L70" i="3" s="1"/>
  <c r="I71" i="3"/>
  <c r="L71" i="3" s="1"/>
  <c r="I72" i="3"/>
  <c r="L72" i="3" s="1"/>
  <c r="I73" i="3"/>
  <c r="L73" i="3" s="1"/>
  <c r="I74" i="3"/>
  <c r="L74" i="3" s="1"/>
  <c r="I75" i="3"/>
  <c r="L75" i="3" s="1"/>
  <c r="I76" i="3"/>
  <c r="L76" i="3" s="1"/>
  <c r="I77" i="3"/>
  <c r="L77" i="3" s="1"/>
  <c r="I78" i="3"/>
  <c r="L78" i="3" s="1"/>
  <c r="I79" i="3"/>
  <c r="L79" i="3" s="1"/>
  <c r="I80" i="3"/>
  <c r="L80" i="3" s="1"/>
  <c r="I81" i="3"/>
  <c r="L81" i="3" s="1"/>
  <c r="I82" i="3"/>
  <c r="L82" i="3" s="1"/>
  <c r="I83" i="3"/>
  <c r="L83" i="3" s="1"/>
  <c r="I84" i="3"/>
  <c r="L84" i="3" s="1"/>
  <c r="I85" i="3"/>
  <c r="L85" i="3" s="1"/>
  <c r="I86" i="3"/>
  <c r="L86" i="3" s="1"/>
  <c r="I87" i="3"/>
  <c r="L87" i="3" s="1"/>
  <c r="I88" i="3"/>
  <c r="L88" i="3" s="1"/>
  <c r="I89" i="3"/>
  <c r="L89" i="3" s="1"/>
  <c r="I90" i="3"/>
  <c r="L90" i="3" s="1"/>
  <c r="I91" i="3"/>
  <c r="L91" i="3" s="1"/>
  <c r="I92" i="3"/>
  <c r="L92" i="3" s="1"/>
  <c r="I93" i="3"/>
  <c r="L93" i="3" s="1"/>
  <c r="I94" i="3"/>
  <c r="L94" i="3" s="1"/>
  <c r="I95" i="3"/>
  <c r="L95" i="3" s="1"/>
  <c r="I96" i="3"/>
  <c r="L96" i="3" s="1"/>
  <c r="I97" i="3"/>
  <c r="L97" i="3" s="1"/>
  <c r="I98" i="3"/>
  <c r="I99" i="3"/>
  <c r="L99" i="3" s="1"/>
  <c r="I100" i="3"/>
  <c r="I101" i="3"/>
  <c r="L101" i="3" s="1"/>
  <c r="I102" i="3"/>
  <c r="L102" i="3" s="1"/>
  <c r="I103" i="3"/>
  <c r="L103" i="3" s="1"/>
  <c r="I104" i="3"/>
  <c r="L104" i="3" s="1"/>
  <c r="I105" i="3"/>
  <c r="L105" i="3" s="1"/>
  <c r="I106" i="3"/>
  <c r="L106" i="3" s="1"/>
  <c r="I107" i="3"/>
  <c r="L107" i="3" s="1"/>
  <c r="I108" i="3"/>
  <c r="L108" i="3" s="1"/>
  <c r="I109" i="3"/>
  <c r="L109" i="3" s="1"/>
  <c r="I110" i="3"/>
  <c r="L110" i="3" s="1"/>
  <c r="I111" i="3"/>
  <c r="L111" i="3" s="1"/>
  <c r="I112" i="3"/>
  <c r="L112" i="3" s="1"/>
  <c r="I113" i="3"/>
  <c r="L113" i="3" s="1"/>
  <c r="I114" i="3"/>
  <c r="I115" i="3"/>
  <c r="L115" i="3" s="1"/>
  <c r="I116" i="3"/>
  <c r="L116" i="3" s="1"/>
  <c r="I117" i="3"/>
  <c r="L117" i="3" s="1"/>
  <c r="I118" i="3"/>
  <c r="L118" i="3" s="1"/>
  <c r="I119" i="3"/>
  <c r="L119" i="3" s="1"/>
  <c r="I120" i="3"/>
  <c r="L120" i="3" s="1"/>
  <c r="I121" i="3"/>
  <c r="L121" i="3" s="1"/>
  <c r="I122" i="3"/>
  <c r="L122" i="3" s="1"/>
  <c r="I123" i="3"/>
  <c r="L123" i="3" s="1"/>
  <c r="I124" i="3"/>
  <c r="L124" i="3" s="1"/>
  <c r="I125" i="3"/>
  <c r="L125" i="3" s="1"/>
  <c r="I126" i="3"/>
  <c r="L126" i="3" s="1"/>
  <c r="I127" i="3"/>
  <c r="L127" i="3" s="1"/>
  <c r="I128" i="3"/>
  <c r="L128" i="3" s="1"/>
  <c r="I129" i="3"/>
  <c r="L129" i="3" s="1"/>
  <c r="I130" i="3"/>
  <c r="I131" i="3"/>
  <c r="L131" i="3" s="1"/>
  <c r="I132" i="3"/>
  <c r="L132" i="3" s="1"/>
  <c r="I133" i="3"/>
  <c r="L133" i="3" s="1"/>
  <c r="I134" i="3"/>
  <c r="L134" i="3" s="1"/>
  <c r="I135" i="3"/>
  <c r="L135" i="3" s="1"/>
  <c r="I136" i="3"/>
  <c r="L136" i="3" s="1"/>
  <c r="I137" i="3"/>
  <c r="L137" i="3" s="1"/>
  <c r="I138" i="3"/>
  <c r="I139" i="3"/>
  <c r="L139" i="3" s="1"/>
  <c r="I140" i="3"/>
  <c r="I141" i="3"/>
  <c r="L141" i="3" s="1"/>
  <c r="I142" i="3"/>
  <c r="L142" i="3" s="1"/>
  <c r="I143" i="3"/>
  <c r="L143" i="3" s="1"/>
  <c r="I144" i="3"/>
  <c r="L144" i="3" s="1"/>
  <c r="I145" i="3"/>
  <c r="L145" i="3" s="1"/>
  <c r="I146" i="3"/>
  <c r="L146" i="3" s="1"/>
  <c r="I147" i="3"/>
  <c r="L147" i="3" s="1"/>
  <c r="I148" i="3"/>
  <c r="L148" i="3" s="1"/>
  <c r="I149" i="3"/>
  <c r="L149" i="3" s="1"/>
  <c r="I150" i="3"/>
  <c r="L150" i="3" s="1"/>
  <c r="I151" i="3"/>
  <c r="L151" i="3" s="1"/>
  <c r="I152" i="3"/>
  <c r="L152" i="3" s="1"/>
  <c r="I153" i="3"/>
  <c r="L153" i="3" s="1"/>
  <c r="I2" i="3"/>
  <c r="L2" i="3" s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2" i="3"/>
  <c r="J2" i="3"/>
  <c r="M2" i="3"/>
  <c r="J3" i="3"/>
  <c r="M3" i="3"/>
  <c r="J4" i="3"/>
  <c r="M4" i="3"/>
  <c r="J5" i="3"/>
  <c r="M5" i="3"/>
  <c r="J6" i="3"/>
  <c r="M6" i="3"/>
  <c r="J7" i="3"/>
  <c r="M7" i="3"/>
  <c r="J8" i="3"/>
  <c r="M8" i="3"/>
  <c r="J9" i="3"/>
  <c r="M9" i="3"/>
  <c r="J10" i="3"/>
  <c r="M10" i="3"/>
  <c r="J11" i="3"/>
  <c r="M11" i="3"/>
  <c r="J12" i="3"/>
  <c r="M12" i="3"/>
  <c r="J13" i="3"/>
  <c r="M13" i="3"/>
  <c r="J14" i="3"/>
  <c r="M14" i="3"/>
  <c r="J15" i="3"/>
  <c r="M15" i="3"/>
  <c r="J16" i="3"/>
  <c r="M16" i="3"/>
  <c r="J17" i="3"/>
  <c r="M17" i="3"/>
  <c r="J18" i="3"/>
  <c r="M18" i="3"/>
  <c r="J19" i="3"/>
  <c r="M19" i="3"/>
  <c r="J20" i="3"/>
  <c r="M20" i="3"/>
  <c r="J21" i="3"/>
  <c r="M21" i="3"/>
  <c r="J22" i="3"/>
  <c r="M22" i="3"/>
  <c r="J23" i="3"/>
  <c r="M23" i="3"/>
  <c r="J24" i="3"/>
  <c r="M24" i="3"/>
  <c r="J25" i="3"/>
  <c r="M25" i="3"/>
  <c r="J26" i="3"/>
  <c r="M26" i="3"/>
  <c r="J27" i="3"/>
  <c r="M27" i="3"/>
  <c r="J28" i="3"/>
  <c r="M28" i="3"/>
  <c r="J29" i="3"/>
  <c r="M29" i="3"/>
  <c r="J30" i="3"/>
  <c r="M30" i="3"/>
  <c r="J31" i="3"/>
  <c r="M31" i="3"/>
  <c r="J32" i="3"/>
  <c r="M32" i="3"/>
  <c r="J33" i="3"/>
  <c r="M33" i="3"/>
  <c r="J34" i="3"/>
  <c r="M34" i="3"/>
  <c r="J35" i="3"/>
  <c r="M35" i="3"/>
  <c r="J36" i="3"/>
  <c r="M36" i="3"/>
  <c r="J37" i="3"/>
  <c r="M37" i="3"/>
  <c r="J38" i="3"/>
  <c r="M38" i="3"/>
  <c r="J39" i="3"/>
  <c r="M39" i="3"/>
  <c r="J40" i="3"/>
  <c r="M40" i="3"/>
  <c r="J41" i="3"/>
  <c r="M41" i="3"/>
  <c r="J42" i="3"/>
  <c r="M42" i="3"/>
  <c r="J43" i="3"/>
  <c r="M43" i="3"/>
  <c r="J44" i="3"/>
  <c r="M44" i="3"/>
  <c r="J45" i="3"/>
  <c r="M45" i="3"/>
  <c r="J46" i="3"/>
  <c r="M46" i="3"/>
  <c r="J47" i="3"/>
  <c r="M47" i="3"/>
  <c r="J48" i="3"/>
  <c r="M48" i="3"/>
  <c r="J49" i="3"/>
  <c r="M49" i="3"/>
  <c r="J50" i="3"/>
  <c r="M50" i="3"/>
  <c r="J51" i="3"/>
  <c r="M51" i="3"/>
  <c r="J52" i="3"/>
  <c r="M52" i="3"/>
  <c r="J53" i="3"/>
  <c r="M53" i="3"/>
  <c r="J54" i="3"/>
  <c r="M54" i="3"/>
  <c r="J55" i="3"/>
  <c r="M55" i="3"/>
  <c r="J56" i="3"/>
  <c r="M56" i="3"/>
  <c r="J57" i="3"/>
  <c r="M57" i="3"/>
  <c r="J58" i="3"/>
  <c r="M58" i="3"/>
  <c r="J59" i="3"/>
  <c r="M59" i="3"/>
  <c r="J60" i="3"/>
  <c r="M60" i="3"/>
  <c r="J61" i="3"/>
  <c r="M61" i="3"/>
  <c r="J62" i="3"/>
  <c r="M62" i="3"/>
  <c r="J63" i="3"/>
  <c r="M63" i="3"/>
  <c r="J64" i="3"/>
  <c r="M64" i="3"/>
  <c r="J65" i="3"/>
  <c r="M65" i="3"/>
  <c r="J66" i="3"/>
  <c r="M66" i="3"/>
  <c r="J67" i="3"/>
  <c r="M67" i="3"/>
  <c r="J68" i="3"/>
  <c r="M68" i="3"/>
  <c r="J69" i="3"/>
  <c r="M69" i="3"/>
  <c r="J70" i="3"/>
  <c r="M70" i="3"/>
  <c r="J71" i="3"/>
  <c r="M71" i="3"/>
  <c r="J72" i="3"/>
  <c r="M72" i="3"/>
  <c r="J73" i="3"/>
  <c r="M73" i="3"/>
  <c r="J74" i="3"/>
  <c r="M74" i="3"/>
  <c r="J75" i="3"/>
  <c r="M75" i="3"/>
  <c r="J76" i="3"/>
  <c r="M76" i="3"/>
  <c r="J77" i="3"/>
  <c r="M77" i="3"/>
  <c r="J78" i="3"/>
  <c r="M78" i="3"/>
  <c r="J79" i="3"/>
  <c r="M79" i="3"/>
  <c r="J80" i="3"/>
  <c r="M80" i="3"/>
  <c r="J81" i="3"/>
  <c r="M81" i="3"/>
  <c r="J82" i="3"/>
  <c r="M82" i="3"/>
  <c r="J83" i="3"/>
  <c r="M83" i="3"/>
  <c r="J84" i="3"/>
  <c r="M84" i="3"/>
  <c r="J85" i="3"/>
  <c r="M85" i="3"/>
  <c r="J86" i="3"/>
  <c r="M86" i="3"/>
  <c r="J87" i="3"/>
  <c r="M87" i="3"/>
  <c r="J88" i="3"/>
  <c r="M88" i="3"/>
  <c r="J89" i="3"/>
  <c r="M89" i="3"/>
  <c r="J90" i="3"/>
  <c r="M90" i="3"/>
  <c r="J91" i="3"/>
  <c r="M91" i="3"/>
  <c r="J92" i="3"/>
  <c r="M92" i="3"/>
  <c r="J93" i="3"/>
  <c r="M93" i="3"/>
  <c r="J94" i="3"/>
  <c r="M94" i="3"/>
  <c r="J95" i="3"/>
  <c r="M95" i="3"/>
  <c r="J96" i="3"/>
  <c r="M96" i="3"/>
  <c r="J97" i="3"/>
  <c r="M97" i="3"/>
  <c r="J98" i="3"/>
  <c r="M98" i="3"/>
  <c r="J99" i="3"/>
  <c r="M99" i="3"/>
  <c r="J100" i="3"/>
  <c r="M100" i="3"/>
  <c r="J101" i="3"/>
  <c r="M101" i="3"/>
  <c r="J102" i="3"/>
  <c r="M102" i="3"/>
  <c r="J103" i="3"/>
  <c r="M103" i="3"/>
  <c r="J104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2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U2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AI2" i="3" a="1"/>
  <c r="AI2" i="3" s="1"/>
  <c r="AH2" i="3" a="1"/>
  <c r="AH2" i="3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V2" i="4" a="1"/>
  <c r="V2" i="4" s="1"/>
  <c r="AE16" i="7" l="1"/>
  <c r="AE12" i="7"/>
  <c r="AE10" i="7"/>
  <c r="AE8" i="7"/>
  <c r="AD6" i="7"/>
  <c r="AF3" i="7"/>
  <c r="AC2" i="7"/>
  <c r="AD16" i="7"/>
  <c r="AF14" i="7"/>
  <c r="AD12" i="7"/>
  <c r="AD10" i="7"/>
  <c r="AD8" i="7"/>
  <c r="AF5" i="7"/>
  <c r="AE3" i="7"/>
  <c r="AD4" i="7"/>
  <c r="AE6" i="7"/>
  <c r="AF8" i="7"/>
  <c r="AF10" i="7"/>
  <c r="AF12" i="7"/>
  <c r="X15" i="7"/>
  <c r="Y15" i="7" s="1"/>
  <c r="AF16" i="7"/>
  <c r="AE4" i="7"/>
  <c r="AF6" i="7"/>
  <c r="AD13" i="7"/>
  <c r="Y17" i="7"/>
  <c r="AF4" i="7"/>
  <c r="AD7" i="7"/>
  <c r="AD9" i="7"/>
  <c r="AD11" i="7"/>
  <c r="AE13" i="7"/>
  <c r="AD15" i="7"/>
  <c r="AD17" i="7"/>
  <c r="AE7" i="7"/>
  <c r="AE9" i="7"/>
  <c r="AE11" i="7"/>
  <c r="AF13" i="7"/>
  <c r="AE15" i="7"/>
  <c r="AE17" i="7"/>
  <c r="AD5" i="7"/>
  <c r="AF7" i="7"/>
  <c r="AF9" i="7"/>
  <c r="AF11" i="7"/>
  <c r="AD14" i="7"/>
  <c r="AF15" i="7"/>
  <c r="AF17" i="7"/>
  <c r="AD3" i="7"/>
  <c r="AE5" i="7"/>
  <c r="AE14" i="7"/>
  <c r="Y16" i="7"/>
  <c r="Y18" i="7"/>
  <c r="AK15" i="3" a="1"/>
  <c r="AL18" i="3" s="1"/>
  <c r="AP2" i="3" a="1"/>
  <c r="AR13" i="3" s="1"/>
  <c r="L140" i="3"/>
  <c r="L100" i="3"/>
  <c r="L138" i="3"/>
  <c r="L130" i="3"/>
  <c r="L114" i="3"/>
  <c r="L98" i="3"/>
  <c r="AL3" i="3" a="1"/>
  <c r="AL3" i="3" s="1"/>
  <c r="AL5" i="3"/>
  <c r="AL2" i="3"/>
  <c r="AF2" i="7" l="1"/>
  <c r="AE2" i="7"/>
  <c r="AD2" i="7"/>
  <c r="AQ3" i="3"/>
  <c r="AR5" i="3"/>
  <c r="AR11" i="3"/>
  <c r="AP2" i="3"/>
  <c r="AL16" i="3"/>
  <c r="AQ16" i="3"/>
  <c r="AQ14" i="3"/>
  <c r="AK15" i="3"/>
  <c r="AL15" i="3" s="1"/>
  <c r="AR3" i="3"/>
  <c r="AQ8" i="3"/>
  <c r="AQ6" i="3"/>
  <c r="AQ12" i="3"/>
  <c r="AR16" i="3"/>
  <c r="AR6" i="3"/>
  <c r="AQ10" i="3"/>
  <c r="AR14" i="3"/>
  <c r="AQ4" i="3"/>
  <c r="AR12" i="3"/>
  <c r="AQ17" i="3"/>
  <c r="AQ15" i="3"/>
  <c r="AQ13" i="3"/>
  <c r="AL17" i="3"/>
  <c r="AR9" i="3"/>
  <c r="AR7" i="3"/>
  <c r="AR10" i="3"/>
  <c r="AR8" i="3"/>
  <c r="AL19" i="3"/>
  <c r="AQ9" i="3"/>
  <c r="AQ7" i="3"/>
  <c r="AQ5" i="3"/>
  <c r="AR4" i="3"/>
  <c r="AQ11" i="3"/>
  <c r="AR17" i="3"/>
  <c r="AR15" i="3"/>
  <c r="AR2" i="3"/>
  <c r="AQ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<sst xmlns="http://schemas.openxmlformats.org/spreadsheetml/2006/main" count="3150" uniqueCount="1073">
  <si>
    <t>created_at</t>
  </si>
  <si>
    <t>launched_at</t>
  </si>
  <si>
    <t>deadline</t>
  </si>
  <si>
    <t>currency</t>
  </si>
  <si>
    <t>backers_count</t>
  </si>
  <si>
    <t>static_usd_rate</t>
  </si>
  <si>
    <t>pledged</t>
  </si>
  <si>
    <t>usd_pledged</t>
  </si>
  <si>
    <t>goal</t>
  </si>
  <si>
    <t>id</t>
  </si>
  <si>
    <t>country</t>
  </si>
  <si>
    <t>name</t>
  </si>
  <si>
    <t>source_url</t>
  </si>
  <si>
    <t>staff_pick</t>
  </si>
  <si>
    <t>state</t>
  </si>
  <si>
    <t>USD</t>
  </si>
  <si>
    <t>successful</t>
  </si>
  <si>
    <t>failed</t>
  </si>
  <si>
    <t>EUR</t>
  </si>
  <si>
    <t>GBP</t>
  </si>
  <si>
    <t>live</t>
  </si>
  <si>
    <t>SEK</t>
  </si>
  <si>
    <t>CAD</t>
  </si>
  <si>
    <t>CA</t>
  </si>
  <si>
    <t>canceled</t>
  </si>
  <si>
    <t>DKK</t>
  </si>
  <si>
    <t>NZD</t>
  </si>
  <si>
    <t>AUD</t>
  </si>
  <si>
    <t>NOK</t>
  </si>
  <si>
    <t>suspended</t>
  </si>
  <si>
    <t>MXN</t>
  </si>
  <si>
    <t>CHF</t>
  </si>
  <si>
    <t>https://www.kickstarter.com/discover/categories/games/puzzles</t>
  </si>
  <si>
    <t>SGD</t>
  </si>
  <si>
    <t>HKD</t>
  </si>
  <si>
    <t>JPY</t>
  </si>
  <si>
    <t>Pixel Blocks by Little Problem Solvers</t>
  </si>
  <si>
    <t>Burrows &amp; Badgers: Great &amp; Small anthro minis by Oathsworn</t>
  </si>
  <si>
    <t>https://www.kickstarter.com/discover/categories/games/tabletop%20games</t>
  </si>
  <si>
    <t>STAY WARM STAY CONNECTED JACKET</t>
  </si>
  <si>
    <t>https://www.kickstarter.com/discover/categories/technology/wearables</t>
  </si>
  <si>
    <t>https://www.kickstarter.com/discover/categories/games/live%20games</t>
  </si>
  <si>
    <t>EverDry socks: THE All-terrain Waterproof sock</t>
  </si>
  <si>
    <t>Oceans Project: Bringing the Ocean Alive for Kids Worldwide</t>
  </si>
  <si>
    <t>TITANS: historical fantasy miniature board game</t>
  </si>
  <si>
    <t>JellyBeanZ - Wireless Stereo Earbuds with Phone Integration!</t>
  </si>
  <si>
    <t>Mosaic the board game.</t>
  </si>
  <si>
    <t>Vengeance : Director's Cut</t>
  </si>
  <si>
    <t>Fineck: The World‚Äôs First Wearable Device For Your Neck</t>
  </si>
  <si>
    <t>SelfiePICTEE</t>
  </si>
  <si>
    <t>Smart Cambridge Mask: You &amp; Clean Air, Connected</t>
  </si>
  <si>
    <t>DEAD+GONE: A Competitive Horror Game</t>
  </si>
  <si>
    <t>Magic Trick Science Tutoring Package, Fool your fellow!</t>
  </si>
  <si>
    <t>Zombicide: 2nd Edition</t>
  </si>
  <si>
    <t>Sock that counts your steps</t>
  </si>
  <si>
    <t>Better Beanie</t>
  </si>
  <si>
    <t>Stereocap a new way to wear headphones</t>
  </si>
  <si>
    <t>Breachstorm: Reloaded - 30mm Sci-fi Miniatures</t>
  </si>
  <si>
    <t>Dice Spell Tracker</t>
  </si>
  <si>
    <t>Jewelbots: Friendship Bracelets That Teach Girls To Code</t>
  </si>
  <si>
    <t>Fearsome Critters</t>
  </si>
  <si>
    <t>Sole Spa, pedicure while you walk!!! (Canceled)</t>
  </si>
  <si>
    <t>Savage Realms - Escape from Darkmoor Keep</t>
  </si>
  <si>
    <t>Dice Palace: Display &amp; Storage Case for Dice &amp; Miniatures</t>
  </si>
  <si>
    <t>Steve Hampson's Tabletop Games Kickstarter Report 2019</t>
  </si>
  <si>
    <t>Tremor</t>
  </si>
  <si>
    <t>SoulCase (Solar Case for IPhone)</t>
  </si>
  <si>
    <t>DOUBLEHEAD KIDS</t>
  </si>
  <si>
    <t>JUST COOL - A Wearable Mist Cooling Device</t>
  </si>
  <si>
    <t>The First Fashionable GPS Smart Watch for Kids - POMO Waffle</t>
  </si>
  <si>
    <t>King H√πng Era</t>
  </si>
  <si>
    <t>Go Solar Gloves: Knocking Out Dead Phone Batteries</t>
  </si>
  <si>
    <t>PASSFORT - Your digital life, secure!</t>
  </si>
  <si>
    <t>Seaver - The first connected equipment for horses</t>
  </si>
  <si>
    <t>Rod, Reel, &amp; Fist</t>
  </si>
  <si>
    <t>Brilliant safety backpack</t>
  </si>
  <si>
    <t>Ghost Shield Photochromic Technology (Canceled)</t>
  </si>
  <si>
    <t>The World's First Heated Down Jacket w/ 6X Mobile Charging</t>
  </si>
  <si>
    <t>Bellum Sacrum Card Game</t>
  </si>
  <si>
    <t>Burgle Bros 2: The Casino Capers</t>
  </si>
  <si>
    <t>Solofy Envy: A Solar Powered Backpack Without Compromise</t>
  </si>
  <si>
    <t>American Civil War printable terrain tabletop and modeling</t>
  </si>
  <si>
    <t>Hydrate Edge | Hydration Monitoring Wearable (Canceled)</t>
  </si>
  <si>
    <t>Tabletop terrain from XPS foam: Buildings</t>
  </si>
  <si>
    <t>Silky soft heart rate monitor</t>
  </si>
  <si>
    <t>CHRRB: Saving lives &amp; locating people</t>
  </si>
  <si>
    <t>Hagic-The only stylish smart watch lasting up to 15 days (Canceled)</t>
  </si>
  <si>
    <t>ROZEBUDS‚Ñ¢ - Wireless Earphones with a Fashion Twist</t>
  </si>
  <si>
    <t>The Fastest LCD-tint changing Sunglasses; CTRL XC</t>
  </si>
  <si>
    <t>WELT : The Smart Belt for Fashion &amp; Health</t>
  </si>
  <si>
    <t>Tadpole - Safety wristband worn by children of all ages (Canceled)</t>
  </si>
  <si>
    <t>Drunko Card - Game Nights Now Officially Forgettable</t>
  </si>
  <si>
    <t>Dwarf board game</t>
  </si>
  <si>
    <t>CHIPS¬Æ - Universal Bluetooth Wireless All-In-One Headphones</t>
  </si>
  <si>
    <t>LifeFX: The premier Wearable Wellness Coach/Fitness Tracker.</t>
  </si>
  <si>
    <t>Vivir Wearable Technology - Heated Fitness Apparel</t>
  </si>
  <si>
    <t>Project EXOSUS - An exoskeleton for the future.</t>
  </si>
  <si>
    <t>Glowbands: Wearable Headband Technology</t>
  </si>
  <si>
    <t>Fantasy Towers in STL format for 3D printing</t>
  </si>
  <si>
    <t>Flyfit - Smart Ankle Tracker For Fitness, Cycling &amp; Swimming</t>
  </si>
  <si>
    <t>3D My Kicks - 3dmykicks.com</t>
  </si>
  <si>
    <t>Anti-pollution Wearable Air Filter (Relaunch)</t>
  </si>
  <si>
    <t>The Smartcoat with My Core Control Technology Inside</t>
  </si>
  <si>
    <t>STAPPONE - Track, Identify, And Fix Your Posture</t>
  </si>
  <si>
    <t>LUXTURE: Elegant, Connected Watch That Notifies with Lights</t>
  </si>
  <si>
    <t>ZaanU Headphones- The world's first luxury earbud enhancers</t>
  </si>
  <si>
    <t>https://www.kickstarter.com/discover/categories/games/mobile%20games</t>
  </si>
  <si>
    <t>https://www.kickstarter.com/discover/categories/games/playing%20cards</t>
  </si>
  <si>
    <t>Vampire Cards: Specialized playing cards!</t>
  </si>
  <si>
    <t>Monolith Playing Cards</t>
  </si>
  <si>
    <t>Heritage Luxury playing cards ‚îÇ printed by Cartamundi</t>
  </si>
  <si>
    <t>Axis Playing Cards</t>
  </si>
  <si>
    <t>Insecta; a transformations deck of intricate insects</t>
  </si>
  <si>
    <t>GAYM</t>
  </si>
  <si>
    <t>Sloosh Cards</t>
  </si>
  <si>
    <t>Open Cards, Open Hearts</t>
  </si>
  <si>
    <t>Super Dude Jump</t>
  </si>
  <si>
    <t>A collection based game for people to show off</t>
  </si>
  <si>
    <t>Azote playing cards | First edition</t>
  </si>
  <si>
    <t>CrossHelmet - the smart motorcycle helmet</t>
  </si>
  <si>
    <t>Get‚Ñ¢: Fingerprint authentication, payments and voice control</t>
  </si>
  <si>
    <t>AR for Everyone Augmented/Mixed/Virtual Reality Headset</t>
  </si>
  <si>
    <t>Protect your health and travel in style..</t>
  </si>
  <si>
    <t>NXT: Titanium &amp; Gold Battery-Free Connected NFC Crypto Rings</t>
  </si>
  <si>
    <t>G.O.H.K (Game of Hong Kong)</t>
  </si>
  <si>
    <t>Mutants et Zombie</t>
  </si>
  <si>
    <t>Cash Quiz Live: Making Ads Fun, Challenging, &amp; Rewarding</t>
  </si>
  <si>
    <t>DADO</t>
  </si>
  <si>
    <t>Mission Adventure</t>
  </si>
  <si>
    <t>Nude figure playing cards</t>
  </si>
  <si>
    <t>Wooden Exquisite Collection Playing Cards Display</t>
  </si>
  <si>
    <t>Dance of Death Playing Cards - LIMITED 1,2,3 deck of cards</t>
  </si>
  <si>
    <t>perfectTrine - playing cards</t>
  </si>
  <si>
    <t>The EMPATH TAROT: for Inner Healing</t>
  </si>
  <si>
    <t>Equality // Integrity \\\\ Justice Playing Cards</t>
  </si>
  <si>
    <t>6th Sense Connection Oracle Cards</t>
  </si>
  <si>
    <t>Lux Runa: Metal Playing Cards</t>
  </si>
  <si>
    <t>Bridgehouse Playing Cards</t>
  </si>
  <si>
    <t>53 Films</t>
  </si>
  <si>
    <t>Matter Playing Cards</t>
  </si>
  <si>
    <t>Highlords Firstborn Playing Cards - Volume 1 Fantasy Series</t>
  </si>
  <si>
    <t>Sensory White Playing Cards By Lunzi</t>
  </si>
  <si>
    <t>Playing Cards: The Jedi of the Old Republic</t>
  </si>
  <si>
    <t>Aether Studios - Swamp of Sorrows</t>
  </si>
  <si>
    <t>Iwari</t>
  </si>
  <si>
    <t>Handsome - An elegant wordgame by TC Petty III</t>
  </si>
  <si>
    <t>Metal Gods of Ur-Hadad Zine Returns!</t>
  </si>
  <si>
    <t>Quests and Chaos Merchandise Launch</t>
  </si>
  <si>
    <t>Endeavor: Age of Expansion</t>
  </si>
  <si>
    <t>Prowlers &amp; Paragons Ultimate Edition</t>
  </si>
  <si>
    <t>Blume</t>
  </si>
  <si>
    <t>The Which Way? Coding Board Game</t>
  </si>
  <si>
    <t>The World of the Lost Lands</t>
  </si>
  <si>
    <t>Raccoon Tycoon: The Fat Cat Expansion</t>
  </si>
  <si>
    <t>Monster Menagerie: Gruesome Foes</t>
  </si>
  <si>
    <t>MINE CITY</t>
  </si>
  <si>
    <t>The Few and Cursed: Board Game</t>
  </si>
  <si>
    <t>The Umerican Road Atlas and Umerica Unnatural</t>
  </si>
  <si>
    <t>Reaping at River's End for 5e and S&amp;W RPG!</t>
  </si>
  <si>
    <t>Monsters of the Underworld for 5E</t>
  </si>
  <si>
    <t>SPARK: The Magic of Storytelling</t>
  </si>
  <si>
    <t>The Bridge of the Damned</t>
  </si>
  <si>
    <t>Epic Stuff Library vol 4: D&amp;D 5E/Pathfinder adaptable.</t>
  </si>
  <si>
    <t>DoubleSix Dice: Generation Two</t>
  </si>
  <si>
    <t>Sea Shanties: A Pirate-Centric Board Game</t>
  </si>
  <si>
    <t>Camp Pinetop</t>
  </si>
  <si>
    <t>Electric Volleyball: LED Volleyball Net</t>
  </si>
  <si>
    <t>ProfileMyRun:  Run the Right Way, Run the Natural Way</t>
  </si>
  <si>
    <t>Way of the samurai</t>
  </si>
  <si>
    <t>EDDY ‚Äì the World‚Äôs unique chiral fitness bottles.</t>
  </si>
  <si>
    <t>C'est pour toi</t>
  </si>
  <si>
    <t>AMAZONS!</t>
  </si>
  <si>
    <t>weActiv - Connect. Share. Compare!</t>
  </si>
  <si>
    <t>Stompz - The World of Virtual Reality at Your Feet</t>
  </si>
  <si>
    <t>DunŒªmis BackPack</t>
  </si>
  <si>
    <t>LIFT, A Exosuit</t>
  </si>
  <si>
    <t>The Mescalaro Prophecy: Dungeons and Dragons Adventure (5E)</t>
  </si>
  <si>
    <t>Accessible Health Management Technology</t>
  </si>
  <si>
    <t>VR Lens Lab - Prescription Lenses for Virtual Reality HMDs</t>
  </si>
  <si>
    <t>The ONYX Project: Connecting Sports and Technology</t>
  </si>
  <si>
    <t>DAZLN: NFC Nails that Light Up Holiday Parties!</t>
  </si>
  <si>
    <t>INTRVL BAND: 20 Minute Life-Changing Workouts</t>
  </si>
  <si>
    <t>World`s first natural heat generating gloves and insoles</t>
  </si>
  <si>
    <t>NanoDri Sweat-blocking Shirts from Japan.</t>
  </si>
  <si>
    <t>365 DAZE - Apple Watch minimal wallpapers</t>
  </si>
  <si>
    <t>BolaBots (Steam game)</t>
  </si>
  <si>
    <t>Remidi: First Wearable Instrument to Record, Play &amp; Perform</t>
  </si>
  <si>
    <t>szimple, an intelligent all-in-one media center (Suspended)</t>
  </si>
  <si>
    <t>AirPod catcher and a magnetic case for Apple ear buds (Canceled)</t>
  </si>
  <si>
    <t>Coolaid Animal Cooling and Recovery</t>
  </si>
  <si>
    <t>Team Stack Cup - The Game</t>
  </si>
  <si>
    <t>The 72 Angels Talisman Coins &amp; Spiritual Cards</t>
  </si>
  <si>
    <t>Attribute Dice</t>
  </si>
  <si>
    <t>Twist Gaming - Year 4</t>
  </si>
  <si>
    <t>Triple Sensory Headset</t>
  </si>
  <si>
    <t>Murder Mystery Manor</t>
  </si>
  <si>
    <t>Kisen Chest Plate</t>
  </si>
  <si>
    <t>The Smart Bracelet - Perfect Christmas Gift</t>
  </si>
  <si>
    <t>The Road to Hell - 3D Print-Ready Models</t>
  </si>
  <si>
    <t>In-store Retail Shopping using Smartwatch, Phone or Camera</t>
  </si>
  <si>
    <t>Taamz Band: Tame Your Appetite &amp; Alleviate Back Pain (Canceled)</t>
  </si>
  <si>
    <t>CAPERS Covert RPG</t>
  </si>
  <si>
    <t>Night Parade of 100 Demons: the Board Game (English)</t>
  </si>
  <si>
    <t>Montana: Goldrush &amp; Longhorns (Heritage Edition Expansions)</t>
  </si>
  <si>
    <t>The Wave!</t>
  </si>
  <si>
    <t>UV Anti-Cancer Melanoma Skin Protection James Prattas Co</t>
  </si>
  <si>
    <t>jmpLite - The first human powered safety light for runners</t>
  </si>
  <si>
    <t>WristReaders:  The World's First + Only Wrappable Eyewear</t>
  </si>
  <si>
    <t>The 1 Dollar Campaign: Break Kickstarter</t>
  </si>
  <si>
    <t>Phone Silks - The best way to carry your smart phone!</t>
  </si>
  <si>
    <t>Dungeon Craft: Build your own battle maps!</t>
  </si>
  <si>
    <t>X-ACT Compression - Engineered to Outperform</t>
  </si>
  <si>
    <t>Cigar Box Battle - Double Sided Battle Mats! New Designs!</t>
  </si>
  <si>
    <t>Fashionable SmartWatch &amp; Fitness, Android &amp; IOS</t>
  </si>
  <si>
    <t>Odyssey: ANTHROPOS</t>
  </si>
  <si>
    <t>My Pad</t>
  </si>
  <si>
    <t>Budzzles...It's a bud, it's a puzzle, it's a Budzzle!</t>
  </si>
  <si>
    <t>28mm scale Orc Defence Turrets</t>
  </si>
  <si>
    <t>Devil Dogs: Belleau Wood 1918</t>
  </si>
  <si>
    <t>Matryoshka: A set-collection and trading game for 3-5p</t>
  </si>
  <si>
    <t>Aeon's End: The New Age</t>
  </si>
  <si>
    <t>TaleSpire</t>
  </si>
  <si>
    <t>Double Cards - Cards that give you choices</t>
  </si>
  <si>
    <t>Incoming Transmission: CoOp Deduction Boardgame (plus App!)</t>
  </si>
  <si>
    <t>Troll's Teeth: A Tabletop RPG Game of Chance‚Ñ¢</t>
  </si>
  <si>
    <t>RPG Pins show off your love of roleplaying games! Series 1.5</t>
  </si>
  <si>
    <t>Dark Streets &amp; Darker Secrets</t>
  </si>
  <si>
    <t>Secrets of the World Harvesters</t>
  </si>
  <si>
    <t>Ashes to Ashes - KS Exclusive Game</t>
  </si>
  <si>
    <t>Traveller Fifth Edition</t>
  </si>
  <si>
    <t>Emberlord</t>
  </si>
  <si>
    <t>Medieval, 3d printable terrain for tabletop and modeling</t>
  </si>
  <si>
    <t>Hit the Streets: Defend the Block tabletop RPG</t>
  </si>
  <si>
    <t>In Thoth's Wake - Zine Quest Edition!</t>
  </si>
  <si>
    <t>FIEF: The Lords Miniatures! KS Exclusive!</t>
  </si>
  <si>
    <t>Hex Tile content Add-Ons for MapForge map-making software</t>
  </si>
  <si>
    <t>Space Raiders - The Space Goblins!</t>
  </si>
  <si>
    <t>The Spy Game: 5th Edition Action/Espionage Roleplaying Game</t>
  </si>
  <si>
    <t>Terraforming Mars: Turmoil</t>
  </si>
  <si>
    <t>Warbands of the Dark Beyond</t>
  </si>
  <si>
    <t>Castles &amp; Crusades Codex Egyptium</t>
  </si>
  <si>
    <t>Night Life Tabletop Game</t>
  </si>
  <si>
    <t>Football Fantasy, a first-and-dungeon zine.</t>
  </si>
  <si>
    <t>Dry Erase Game Tokens</t>
  </si>
  <si>
    <t>LIVV Headphones</t>
  </si>
  <si>
    <t>The Hedgehog Hop</t>
  </si>
  <si>
    <t>WoodOX Sling: The Ultimate Firewood Carrier</t>
  </si>
  <si>
    <t>Wearable (Canceled)</t>
  </si>
  <si>
    <t>Capone: The Business of Prohibition</t>
  </si>
  <si>
    <t>Storosso, new beach, backyard, tailgate game (Canceled)</t>
  </si>
  <si>
    <t>Dice &amp; Ink: A Roll &amp; Write Anthology</t>
  </si>
  <si>
    <t>Headlight helmet</t>
  </si>
  <si>
    <t>Ekinox One - EMS Suit for horses</t>
  </si>
  <si>
    <t>Japanese Mythology for Dungeons &amp; Dragons 5e and Pathfinder</t>
  </si>
  <si>
    <t>SPACE BASE II -Futuristic / Apocalyptic Scenery STLs in 28mm</t>
  </si>
  <si>
    <t>Stop the Traffic</t>
  </si>
  <si>
    <t>KYMIRA Sport: The Most Advanced Reactive Sports Apparel</t>
  </si>
  <si>
    <t>Automated CANE for the blind</t>
  </si>
  <si>
    <t>BULLSHIP! - Never Trust A Pirate!</t>
  </si>
  <si>
    <t>Alkemy, Rados Cults</t>
  </si>
  <si>
    <t>iPhanny</t>
  </si>
  <si>
    <t>A wearable sports light to make any cycle jersey illuminate! (Canceled)</t>
  </si>
  <si>
    <t>Global Outreach Program to Prevent Malaria</t>
  </si>
  <si>
    <t>KOR-FX Gaming Vest: 4DFX Haptic Feedback System</t>
  </si>
  <si>
    <t>Catch The Letch</t>
  </si>
  <si>
    <t>Monster Cards: DnD 5e Reference Cards</t>
  </si>
  <si>
    <t>Torero's - CROSS Grabado Tech+ Smart Wallet (Canceled)</t>
  </si>
  <si>
    <t>OURA ring. Improve sleep. Perform better.</t>
  </si>
  <si>
    <t>Sovereign Skies</t>
  </si>
  <si>
    <t>LVL ‚Äì The First Wearable Hydration Monitor</t>
  </si>
  <si>
    <t>Critical Dice</t>
  </si>
  <si>
    <t>LIVION</t>
  </si>
  <si>
    <t>8sense - start caring about your back health (Canceled)</t>
  </si>
  <si>
    <t>WarCHESS</t>
  </si>
  <si>
    <t>Dice Friend - Innovative Dice Tray &amp; Dice Bag - 2 in 1</t>
  </si>
  <si>
    <t>Our House: The Lore Driven Card Game</t>
  </si>
  <si>
    <t>Cochin Industrial District: 3d Printable World Building</t>
  </si>
  <si>
    <t>IT'S WAY BEYOND ANY HOT OR COLD THERAPY PACK</t>
  </si>
  <si>
    <t>The Customizable Smart Band that Lights Up Your Night</t>
  </si>
  <si>
    <t>TheVDOCK V-GRIPS: Cell Phone BODY GRIPS - Phone Apparel WOW!</t>
  </si>
  <si>
    <t>Vivi di Cuore - Heart Rate Watch</t>
  </si>
  <si>
    <t>Longest Number Ever Written</t>
  </si>
  <si>
    <t>XL Band Leather for Apple Watch in Black/Brown and 38mm/42mm</t>
  </si>
  <si>
    <t>Flight Club: Performance Artwork and Live Street Game</t>
  </si>
  <si>
    <t>Intrvl Band: The Wearable Personal Trainer (Canceled)</t>
  </si>
  <si>
    <t>Kinetic belt for smartphones</t>
  </si>
  <si>
    <t>Coros LIVE, E-Paper Smartwatch, up to 6 Weeks Battery Life</t>
  </si>
  <si>
    <t>VT,"type"</t>
  </si>
  <si>
    <t>FL,"type"</t>
  </si>
  <si>
    <t>WA,"type"</t>
  </si>
  <si>
    <t>CA,"type"</t>
  </si>
  <si>
    <t>AZ,"type"</t>
  </si>
  <si>
    <t>MI,"type"</t>
  </si>
  <si>
    <t>TX,"type"</t>
  </si>
  <si>
    <t>Berlin,"type"</t>
  </si>
  <si>
    <t>England,"type"</t>
  </si>
  <si>
    <t>OH,"type"</t>
  </si>
  <si>
    <t>Ile-de-France,"type"</t>
  </si>
  <si>
    <t>MA,"type"</t>
  </si>
  <si>
    <t>NY,"type"</t>
  </si>
  <si>
    <t>Stockholm,"type"</t>
  </si>
  <si>
    <t>ON,"type"</t>
  </si>
  <si>
    <t>LA,"type"</t>
  </si>
  <si>
    <t>South Holland,"type"</t>
  </si>
  <si>
    <t>CO,"type"</t>
  </si>
  <si>
    <t>IL,"type"</t>
  </si>
  <si>
    <t>NC,"type"</t>
  </si>
  <si>
    <t>BC,"type"</t>
  </si>
  <si>
    <t>AL,"type"</t>
  </si>
  <si>
    <t>QC,"type"</t>
  </si>
  <si>
    <t>Catalonia,"type"</t>
  </si>
  <si>
    <t>UT,"type"</t>
  </si>
  <si>
    <t>DC,"type"</t>
  </si>
  <si>
    <t>CT,"type"</t>
  </si>
  <si>
    <t>Bavaria,"type"</t>
  </si>
  <si>
    <t>AB,"type"</t>
  </si>
  <si>
    <t>HI,"type"</t>
  </si>
  <si>
    <t>SC,"type"</t>
  </si>
  <si>
    <t>IN,"type"</t>
  </si>
  <si>
    <t>Beijing,"type"</t>
  </si>
  <si>
    <t>Distrito Federal,"type"</t>
  </si>
  <si>
    <t>Central Singapore,"type"</t>
  </si>
  <si>
    <t>Madrid,"type"</t>
  </si>
  <si>
    <t>Hong Kong Island,"type"</t>
  </si>
  <si>
    <t>Tokyo Prefecture,"type"</t>
  </si>
  <si>
    <t>Baden-Wurttemberg,"type"</t>
  </si>
  <si>
    <t>Veracruz-Llave,"type"</t>
  </si>
  <si>
    <t>Saitama Prefecture,"type"</t>
  </si>
  <si>
    <t>Valencia,"type"</t>
  </si>
  <si>
    <t>Lombardy,"type"</t>
  </si>
  <si>
    <t>Lower Austria,"type"</t>
  </si>
  <si>
    <t>Sicily,"type"</t>
  </si>
  <si>
    <t>Distrito Especial,"type"</t>
  </si>
  <si>
    <t>Olomouc Region,"type"</t>
  </si>
  <si>
    <t>Pays de la Loire,"type"</t>
  </si>
  <si>
    <t>city</t>
  </si>
  <si>
    <t>status</t>
  </si>
  <si>
    <t>Miami</t>
  </si>
  <si>
    <t>Los Angeles</t>
  </si>
  <si>
    <t>Oakland</t>
  </si>
  <si>
    <t>Portland</t>
  </si>
  <si>
    <t>Dallas</t>
  </si>
  <si>
    <t>San Antonio</t>
  </si>
  <si>
    <t>Berlin</t>
  </si>
  <si>
    <t>London</t>
  </si>
  <si>
    <t>Cincinnati</t>
  </si>
  <si>
    <t>Paris</t>
  </si>
  <si>
    <t>Boston</t>
  </si>
  <si>
    <t>Stockholm</t>
  </si>
  <si>
    <t>Nashville</t>
  </si>
  <si>
    <t>Toronto</t>
  </si>
  <si>
    <t>New Orleans</t>
  </si>
  <si>
    <t>New York</t>
  </si>
  <si>
    <t>Burbank</t>
  </si>
  <si>
    <t>Austin</t>
  </si>
  <si>
    <t>Chicago</t>
  </si>
  <si>
    <t>Sydney</t>
  </si>
  <si>
    <t>Bournemouth</t>
  </si>
  <si>
    <t>Manchester</t>
  </si>
  <si>
    <t>Oslo</t>
  </si>
  <si>
    <t>Vancouver</t>
  </si>
  <si>
    <t>Denver</t>
  </si>
  <si>
    <t>Philadelphia</t>
  </si>
  <si>
    <t>Cologne</t>
  </si>
  <si>
    <t>Montreal</t>
  </si>
  <si>
    <t>Brooklyn</t>
  </si>
  <si>
    <t>Barcelona</t>
  </si>
  <si>
    <t>Hamburg</t>
  </si>
  <si>
    <t>Boulder</t>
  </si>
  <si>
    <t>Italia</t>
  </si>
  <si>
    <t>Rome</t>
  </si>
  <si>
    <t>Sacramento</t>
  </si>
  <si>
    <t>Seattle</t>
  </si>
  <si>
    <t>Atlanta</t>
  </si>
  <si>
    <t>Detroit</t>
  </si>
  <si>
    <t>Arlington</t>
  </si>
  <si>
    <t>San Francisco</t>
  </si>
  <si>
    <t>Washington</t>
  </si>
  <si>
    <t>Richmond</t>
  </si>
  <si>
    <t>France</t>
  </si>
  <si>
    <t>Phoenix</t>
  </si>
  <si>
    <t>Edinburgh</t>
  </si>
  <si>
    <t>Houston</t>
  </si>
  <si>
    <t>Orem</t>
  </si>
  <si>
    <t>Honolulu</t>
  </si>
  <si>
    <t>Wales</t>
  </si>
  <si>
    <t>Columbia</t>
  </si>
  <si>
    <t>Orlando</t>
  </si>
  <si>
    <t>Gastonia</t>
  </si>
  <si>
    <t>Birmingham</t>
  </si>
  <si>
    <t>Minneapolis</t>
  </si>
  <si>
    <t>Memphis</t>
  </si>
  <si>
    <t>San Diego</t>
  </si>
  <si>
    <t>Calgary</t>
  </si>
  <si>
    <t>Mexico</t>
  </si>
  <si>
    <t>Santa Monica</t>
  </si>
  <si>
    <t>Bloomington</t>
  </si>
  <si>
    <t>New Brunswick</t>
  </si>
  <si>
    <t>Colorado Springs</t>
  </si>
  <si>
    <t>Indianapolis</t>
  </si>
  <si>
    <t>Virginia Beach</t>
  </si>
  <si>
    <t>Salt Lake City</t>
  </si>
  <si>
    <t>Beijing</t>
  </si>
  <si>
    <t>Mexico City</t>
  </si>
  <si>
    <t>Rotterdam</t>
  </si>
  <si>
    <t>Singapore</t>
  </si>
  <si>
    <t>Provo</t>
  </si>
  <si>
    <t>Espa√±a</t>
  </si>
  <si>
    <t>Hong Kong</t>
  </si>
  <si>
    <t>East Lansing</t>
  </si>
  <si>
    <t>Tokyo</t>
  </si>
  <si>
    <t>Durango</t>
  </si>
  <si>
    <t>Stuttgart</t>
  </si>
  <si>
    <t>Mississauga</t>
  </si>
  <si>
    <t>Kiev</t>
  </si>
  <si>
    <t>Surprise</t>
  </si>
  <si>
    <t>Nottingham</t>
  </si>
  <si>
    <t>Redmond</t>
  </si>
  <si>
    <t>Cambridge</t>
  </si>
  <si>
    <t>Ottawa</t>
  </si>
  <si>
    <t>Munich</t>
  </si>
  <si>
    <t>Pasadena</t>
  </si>
  <si>
    <t>Charlottesville</t>
  </si>
  <si>
    <t>County Durham</t>
  </si>
  <si>
    <t>Kendal</t>
  </si>
  <si>
    <t>Little Rock</t>
  </si>
  <si>
    <t>Pozna≈Ñ</t>
  </si>
  <si>
    <t>Mckinney</t>
  </si>
  <si>
    <t>Fort Worth</t>
  </si>
  <si>
    <t>Marlborough</t>
  </si>
  <si>
    <t>Franklin</t>
  </si>
  <si>
    <t>Kent</t>
  </si>
  <si>
    <t>Launceston</t>
  </si>
  <si>
    <t>Veracruz</t>
  </si>
  <si>
    <t>Beverly</t>
  </si>
  <si>
    <t>New Albany</t>
  </si>
  <si>
    <t>Wallingford</t>
  </si>
  <si>
    <t>Northampton</t>
  </si>
  <si>
    <t>Saitama-shi</t>
  </si>
  <si>
    <t>Fort Collins</t>
  </si>
  <si>
    <t>Carrollton</t>
  </si>
  <si>
    <t>Rochester</t>
  </si>
  <si>
    <t>Lehi</t>
  </si>
  <si>
    <t>Valencia</t>
  </si>
  <si>
    <t>Centerville</t>
  </si>
  <si>
    <t>Krempe</t>
  </si>
  <si>
    <t>Vacaville</t>
  </si>
  <si>
    <t>Fremont</t>
  </si>
  <si>
    <t>Naperville</t>
  </si>
  <si>
    <t>Milano</t>
  </si>
  <si>
    <t>Longview</t>
  </si>
  <si>
    <t>Hayward</t>
  </si>
  <si>
    <t>Milan</t>
  </si>
  <si>
    <t>Palo Alto</t>
  </si>
  <si>
    <t>Ogden</t>
  </si>
  <si>
    <t>Kalamazoo</t>
  </si>
  <si>
    <t>Brandon</t>
  </si>
  <si>
    <t>Sulz</t>
  </si>
  <si>
    <t>San Mateo</t>
  </si>
  <si>
    <t>Los Gatos</t>
  </si>
  <si>
    <t>Idaho Falls</t>
  </si>
  <si>
    <t>Lentate sul Seveso</t>
  </si>
  <si>
    <t>Tours</t>
  </si>
  <si>
    <t>Bangor</t>
  </si>
  <si>
    <t>Bordeaux</t>
  </si>
  <si>
    <t>Manniku</t>
  </si>
  <si>
    <t>Reading</t>
  </si>
  <si>
    <t>Oshkosh</t>
  </si>
  <si>
    <t>Winchester</t>
  </si>
  <si>
    <t>Marietta</t>
  </si>
  <si>
    <t>Rennes</t>
  </si>
  <si>
    <t>Cambridgeshire</t>
  </si>
  <si>
    <t>Santa Cruz de Tenerife</t>
  </si>
  <si>
    <t>Ashland</t>
  </si>
  <si>
    <t>Hampton</t>
  </si>
  <si>
    <t>Seville</t>
  </si>
  <si>
    <t>Ponchatoula</t>
  </si>
  <si>
    <t>Stevens Point</t>
  </si>
  <si>
    <t>Bogota</t>
  </si>
  <si>
    <t>College Park</t>
  </si>
  <si>
    <t>Matlock</t>
  </si>
  <si>
    <t>Astoria</t>
  </si>
  <si>
    <t>Traverse City</t>
  </si>
  <si>
    <t>Kissimmee</t>
  </si>
  <si>
    <t>Burlington</t>
  </si>
  <si>
    <t>Collingswood</t>
  </si>
  <si>
    <t>Poulsbo</t>
  </si>
  <si>
    <t>Plainfield</t>
  </si>
  <si>
    <t>Bretagne</t>
  </si>
  <si>
    <t>Spain</t>
  </si>
  <si>
    <t>Boynton Beach</t>
  </si>
  <si>
    <t>Olomouc</t>
  </si>
  <si>
    <t>Le Mans</t>
  </si>
  <si>
    <t>Fitchburg</t>
  </si>
  <si>
    <t>Wickenburg</t>
  </si>
  <si>
    <t>Karvin√°</t>
  </si>
  <si>
    <t>Coral Springs</t>
  </si>
  <si>
    <t>Cheung Chau</t>
  </si>
  <si>
    <t>Captain Cook</t>
  </si>
  <si>
    <t>Aiken</t>
  </si>
  <si>
    <t>Salzburg</t>
  </si>
  <si>
    <t>Perugia</t>
  </si>
  <si>
    <t>Guildford</t>
  </si>
  <si>
    <t>Shacklefords</t>
  </si>
  <si>
    <t>Cintru√©nigo</t>
  </si>
  <si>
    <t>Montesson</t>
  </si>
  <si>
    <t>West Decatur</t>
  </si>
  <si>
    <t>Porto Mantovano</t>
  </si>
  <si>
    <t>Saginaw</t>
  </si>
  <si>
    <t>Bydgoszcz</t>
  </si>
  <si>
    <t>Siracusa</t>
  </si>
  <si>
    <t>DUMBO</t>
  </si>
  <si>
    <t>Navarre</t>
  </si>
  <si>
    <t>United States</t>
  </si>
  <si>
    <t>Germany</t>
  </si>
  <si>
    <t>United Kingdom</t>
  </si>
  <si>
    <t>Sweden</t>
  </si>
  <si>
    <t>Canada</t>
  </si>
  <si>
    <t>Netherlands</t>
  </si>
  <si>
    <t>Italy</t>
  </si>
  <si>
    <t>Austria</t>
  </si>
  <si>
    <t>Czech Republic</t>
  </si>
  <si>
    <t>China</t>
  </si>
  <si>
    <t>Japan</t>
  </si>
  <si>
    <t>Colombia</t>
  </si>
  <si>
    <t>exchange_rate</t>
  </si>
  <si>
    <t xml:space="preserve">   United Kingdom</t>
  </si>
  <si>
    <t xml:space="preserve">   United States</t>
  </si>
  <si>
    <t xml:space="preserve">   Germany</t>
  </si>
  <si>
    <t xml:space="preserve">   Australia</t>
  </si>
  <si>
    <t xml:space="preserve">   France</t>
  </si>
  <si>
    <t xml:space="preserve">   Poland</t>
  </si>
  <si>
    <t xml:space="preserve">   Canada</t>
  </si>
  <si>
    <t xml:space="preserve">   Italy</t>
  </si>
  <si>
    <t xml:space="preserve">   Spain</t>
  </si>
  <si>
    <t xml:space="preserve">   Hong Kong</t>
  </si>
  <si>
    <t xml:space="preserve">   Ukraine</t>
  </si>
  <si>
    <t xml:space="preserve">   Estonia</t>
  </si>
  <si>
    <t xml:space="preserve">   Singapore</t>
  </si>
  <si>
    <t xml:space="preserve">   Austria</t>
  </si>
  <si>
    <t xml:space="preserve">   Czech Republic</t>
  </si>
  <si>
    <t xml:space="preserve">   Norway</t>
  </si>
  <si>
    <t xml:space="preserve"> 712049365  </t>
  </si>
  <si>
    <t xml:space="preserve"> 2026307233  </t>
  </si>
  <si>
    <t xml:space="preserve"> 411145464  </t>
  </si>
  <si>
    <t xml:space="preserve"> 83867841  </t>
  </si>
  <si>
    <t xml:space="preserve"> 1950299864  </t>
  </si>
  <si>
    <t xml:space="preserve"> 1479851539  </t>
  </si>
  <si>
    <t xml:space="preserve"> 1314100597  </t>
  </si>
  <si>
    <t xml:space="preserve"> 2083388665  </t>
  </si>
  <si>
    <t xml:space="preserve"> 1707641874  </t>
  </si>
  <si>
    <t xml:space="preserve"> 668060039  </t>
  </si>
  <si>
    <t xml:space="preserve"> 1426576520  </t>
  </si>
  <si>
    <t xml:space="preserve"> 946017695  </t>
  </si>
  <si>
    <t xml:space="preserve"> 1500832192  </t>
  </si>
  <si>
    <t xml:space="preserve"> 1216907341  </t>
  </si>
  <si>
    <t xml:space="preserve"> 1892013298  </t>
  </si>
  <si>
    <t xml:space="preserve"> 579140079  </t>
  </si>
  <si>
    <t xml:space="preserve"> 1545080113  </t>
  </si>
  <si>
    <t xml:space="preserve"> 791911668  </t>
  </si>
  <si>
    <t xml:space="preserve"> 1282611588  </t>
  </si>
  <si>
    <t xml:space="preserve"> 636724187  </t>
  </si>
  <si>
    <t xml:space="preserve"> 1386711117  </t>
  </si>
  <si>
    <t xml:space="preserve"> 471706273  </t>
  </si>
  <si>
    <t xml:space="preserve"> 952844010  </t>
  </si>
  <si>
    <t xml:space="preserve"> 430176905  </t>
  </si>
  <si>
    <t xml:space="preserve"> 908876807  </t>
  </si>
  <si>
    <t xml:space="preserve"> 624568186  </t>
  </si>
  <si>
    <t xml:space="preserve"> 1191706416  </t>
  </si>
  <si>
    <t xml:space="preserve"> 161920117  </t>
  </si>
  <si>
    <t xml:space="preserve"> 1115950125  </t>
  </si>
  <si>
    <t xml:space="preserve"> 2137418131  </t>
  </si>
  <si>
    <t xml:space="preserve"> 431595117  </t>
  </si>
  <si>
    <t xml:space="preserve"> 1906655112  </t>
  </si>
  <si>
    <t xml:space="preserve"> 439377345  </t>
  </si>
  <si>
    <t xml:space="preserve"> 1766765689  </t>
  </si>
  <si>
    <t xml:space="preserve"> 348622365  </t>
  </si>
  <si>
    <t xml:space="preserve"> 1299500496  </t>
  </si>
  <si>
    <t xml:space="preserve"> 375787146  </t>
  </si>
  <si>
    <t xml:space="preserve"> 307553844  </t>
  </si>
  <si>
    <t xml:space="preserve"> 179565049  </t>
  </si>
  <si>
    <t xml:space="preserve"> 975760822  </t>
  </si>
  <si>
    <t xml:space="preserve"> 1648668730  </t>
  </si>
  <si>
    <t xml:space="preserve"> 47413364  </t>
  </si>
  <si>
    <t xml:space="preserve"> 1543028397  </t>
  </si>
  <si>
    <t xml:space="preserve"> 1186044901  </t>
  </si>
  <si>
    <t xml:space="preserve"> 1845530720  </t>
  </si>
  <si>
    <t xml:space="preserve"> 1855974537  </t>
  </si>
  <si>
    <t xml:space="preserve"> 351656880  </t>
  </si>
  <si>
    <t xml:space="preserve"> 273890115  </t>
  </si>
  <si>
    <t xml:space="preserve"> 786352460  </t>
  </si>
  <si>
    <t xml:space="preserve"> 1981294931  </t>
  </si>
  <si>
    <t xml:space="preserve"> 1641118074  </t>
  </si>
  <si>
    <t xml:space="preserve"> 1982588641  </t>
  </si>
  <si>
    <t xml:space="preserve"> 180001754  </t>
  </si>
  <si>
    <t xml:space="preserve"> 1402626429  </t>
  </si>
  <si>
    <t xml:space="preserve"> 201347840  </t>
  </si>
  <si>
    <t xml:space="preserve"> 679726492  </t>
  </si>
  <si>
    <t xml:space="preserve"> 1071219465  </t>
  </si>
  <si>
    <t xml:space="preserve"> 661560435  </t>
  </si>
  <si>
    <t xml:space="preserve"> 1283932397  </t>
  </si>
  <si>
    <t xml:space="preserve"> 2134528960  </t>
  </si>
  <si>
    <t xml:space="preserve"> 560453949  </t>
  </si>
  <si>
    <t xml:space="preserve"> 353045033  </t>
  </si>
  <si>
    <t xml:space="preserve"> 223075211  </t>
  </si>
  <si>
    <t xml:space="preserve"> 1543097050  </t>
  </si>
  <si>
    <t xml:space="preserve"> 1188164720  </t>
  </si>
  <si>
    <t xml:space="preserve"> 980288346  </t>
  </si>
  <si>
    <t xml:space="preserve"> 1436400002  </t>
  </si>
  <si>
    <t xml:space="preserve"> 1607978064  </t>
  </si>
  <si>
    <t xml:space="preserve"> 804136448  </t>
  </si>
  <si>
    <t xml:space="preserve"> 143712803  </t>
  </si>
  <si>
    <t xml:space="preserve"> 1252995380  </t>
  </si>
  <si>
    <t xml:space="preserve"> 1665995686  </t>
  </si>
  <si>
    <t xml:space="preserve"> 906749645  </t>
  </si>
  <si>
    <t xml:space="preserve"> 1253217418  </t>
  </si>
  <si>
    <t xml:space="preserve"> 1626994670  </t>
  </si>
  <si>
    <t xml:space="preserve"> 1225530140  </t>
  </si>
  <si>
    <t xml:space="preserve"> 1354607855  </t>
  </si>
  <si>
    <t xml:space="preserve"> 463753115  </t>
  </si>
  <si>
    <t xml:space="preserve"> 1772675078  </t>
  </si>
  <si>
    <t xml:space="preserve"> 661671947  </t>
  </si>
  <si>
    <t xml:space="preserve"> 809200958  </t>
  </si>
  <si>
    <t xml:space="preserve"> 352676893  </t>
  </si>
  <si>
    <t xml:space="preserve"> 2095534394  </t>
  </si>
  <si>
    <t xml:space="preserve"> 157946672  </t>
  </si>
  <si>
    <t xml:space="preserve"> 159764729  </t>
  </si>
  <si>
    <t xml:space="preserve"> 898182194  </t>
  </si>
  <si>
    <t xml:space="preserve"> 1320781728  </t>
  </si>
  <si>
    <t xml:space="preserve"> 1899175768  </t>
  </si>
  <si>
    <t xml:space="preserve"> 1247618735  </t>
  </si>
  <si>
    <t xml:space="preserve"> 1613449735  </t>
  </si>
  <si>
    <t xml:space="preserve"> 1060254874  </t>
  </si>
  <si>
    <t xml:space="preserve"> 537175035  </t>
  </si>
  <si>
    <t xml:space="preserve"> 361230638  </t>
  </si>
  <si>
    <t xml:space="preserve"> 942154650  </t>
  </si>
  <si>
    <t xml:space="preserve"> 1389138035  </t>
  </si>
  <si>
    <t xml:space="preserve"> 985845203  </t>
  </si>
  <si>
    <t xml:space="preserve"> 1659350880  </t>
  </si>
  <si>
    <t xml:space="preserve"> 1797392182  </t>
  </si>
  <si>
    <t xml:space="preserve"> 872998230  </t>
  </si>
  <si>
    <t xml:space="preserve"> 452775650  </t>
  </si>
  <si>
    <t xml:space="preserve"> 863208642  </t>
  </si>
  <si>
    <t xml:space="preserve"> 2107188830  </t>
  </si>
  <si>
    <t xml:space="preserve"> 1067163623  </t>
  </si>
  <si>
    <t>goal_USD</t>
  </si>
  <si>
    <t>Lombardy</t>
  </si>
  <si>
    <t>AZ</t>
  </si>
  <si>
    <t>VA</t>
  </si>
  <si>
    <t>NY</t>
  </si>
  <si>
    <t>England</t>
  </si>
  <si>
    <t>WA</t>
  </si>
  <si>
    <t>Central Singapore</t>
  </si>
  <si>
    <t>WI</t>
  </si>
  <si>
    <t>PA</t>
  </si>
  <si>
    <t>Catalonia</t>
  </si>
  <si>
    <t>Ile-de-France</t>
  </si>
  <si>
    <t>Andalusia</t>
  </si>
  <si>
    <t>SC</t>
  </si>
  <si>
    <t>OR</t>
  </si>
  <si>
    <t>AR</t>
  </si>
  <si>
    <t>Piedmont</t>
  </si>
  <si>
    <t>MI</t>
  </si>
  <si>
    <t>IL</t>
  </si>
  <si>
    <t>BC</t>
  </si>
  <si>
    <t>FL</t>
  </si>
  <si>
    <t>CO</t>
  </si>
  <si>
    <t>UT</t>
  </si>
  <si>
    <t>TX</t>
  </si>
  <si>
    <t>Centre</t>
  </si>
  <si>
    <t>NJ</t>
  </si>
  <si>
    <t>Schleswig-Holstein</t>
  </si>
  <si>
    <t>Hong Kong Island</t>
  </si>
  <si>
    <t>MS</t>
  </si>
  <si>
    <t>MD</t>
  </si>
  <si>
    <t>GA</t>
  </si>
  <si>
    <t>Umbria</t>
  </si>
  <si>
    <t>Oslo Fylke</t>
  </si>
  <si>
    <t>MN</t>
  </si>
  <si>
    <t>ON</t>
  </si>
  <si>
    <t>Kiev City Municipality</t>
  </si>
  <si>
    <t>Scotland</t>
  </si>
  <si>
    <t>North Rhine-Westphalia</t>
  </si>
  <si>
    <t>IN</t>
  </si>
  <si>
    <t>TN</t>
  </si>
  <si>
    <t>Lublin</t>
  </si>
  <si>
    <t>Kuiavia-Pomerania</t>
  </si>
  <si>
    <t>MA</t>
  </si>
  <si>
    <t>AB</t>
  </si>
  <si>
    <t>Laane-Viru County</t>
  </si>
  <si>
    <t>NSW</t>
  </si>
  <si>
    <t>Canary Islands</t>
  </si>
  <si>
    <t>TAS</t>
  </si>
  <si>
    <t>OH</t>
  </si>
  <si>
    <t>Aquitaine</t>
  </si>
  <si>
    <t>Lazio</t>
  </si>
  <si>
    <t>ID</t>
  </si>
  <si>
    <t>Outlying Islands</t>
  </si>
  <si>
    <t>Moravian-Silesian Region</t>
  </si>
  <si>
    <t>maximum mayhem dungeons #7: dread swamp of the banshee</t>
  </si>
  <si>
    <t>dungeon crawl classics: soul for the ocean dark</t>
  </si>
  <si>
    <t>the oracle of heaven and hell</t>
  </si>
  <si>
    <t>peculiarity oracle, sacred space and beautiful word cards</t>
  </si>
  <si>
    <t>THE MANA POOL FOR MAGIC THE GATHERING</t>
  </si>
  <si>
    <t>FIRST US FANTASY SPORTS SITE FOR WOMEN'S LEAGUES: SHE PLAYS</t>
  </si>
  <si>
    <t>MUSICAL BREAKOUT</t>
  </si>
  <si>
    <t>OVER THE HILLS 2ND EDITION - THE NAPOLEONIC WARGAMES RULES</t>
  </si>
  <si>
    <t>US NATIONAL PARK PLAYING CARDS</t>
  </si>
  <si>
    <t>month_name</t>
  </si>
  <si>
    <t>month_number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</si>
  <si>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</si>
  <si>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</si>
  <si>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</si>
  <si>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</si>
  <si>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</si>
  <si>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</si>
  <si>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</si>
  <si>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</si>
  <si>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</si>
  <si>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</si>
  <si>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</si>
  <si>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</si>
  <si>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weekday_number</t>
  </si>
  <si>
    <t>weekday_name</t>
  </si>
  <si>
    <t>Sunday</t>
  </si>
  <si>
    <t>Monday</t>
  </si>
  <si>
    <t>Tuesday</t>
  </si>
  <si>
    <t>Wednesday</t>
  </si>
  <si>
    <t>Thursday</t>
  </si>
  <si>
    <t>Friday</t>
  </si>
  <si>
    <t>Saturday</t>
  </si>
  <si>
    <t>Column1</t>
  </si>
  <si>
    <t>pledged_sorted_asc</t>
  </si>
  <si>
    <t>Exact_match</t>
  </si>
  <si>
    <t xml:space="preserve">How many project have raised more than $100,000?
</t>
  </si>
  <si>
    <t>Pledged_Asc</t>
  </si>
  <si>
    <t>Pledged_Desc&gt;100K</t>
  </si>
  <si>
    <t>Concat Names</t>
  </si>
  <si>
    <t>Currency_CAP</t>
  </si>
  <si>
    <t>Conc_Pledged USD</t>
  </si>
  <si>
    <t>State_Cleaned</t>
  </si>
  <si>
    <t>Names</t>
  </si>
  <si>
    <t>Trimmed names</t>
  </si>
  <si>
    <t>LINKS_CHAR_COUNT</t>
  </si>
  <si>
    <t>source_url_category</t>
  </si>
  <si>
    <t>Project_Length(Days)</t>
  </si>
  <si>
    <t>funding_period</t>
  </si>
  <si>
    <t>launched_at_day</t>
  </si>
  <si>
    <t>launched_at_month</t>
  </si>
  <si>
    <t>Exchange_rate</t>
  </si>
  <si>
    <t>Pledged_USD</t>
  </si>
  <si>
    <t>Proper_Name</t>
  </si>
  <si>
    <t>Pledged_rounded</t>
  </si>
  <si>
    <t>location</t>
  </si>
  <si>
    <t>goal_USD_numeric</t>
  </si>
  <si>
    <t>country_trimmed</t>
  </si>
  <si>
    <t>source_url_length</t>
  </si>
  <si>
    <t>source_url_category_cleaned</t>
  </si>
  <si>
    <t>staff_pick_lower</t>
  </si>
  <si>
    <t>Non-blank cells in columns D-G</t>
  </si>
  <si>
    <t>Blank cells</t>
  </si>
  <si>
    <t>Minimum goal USD</t>
  </si>
  <si>
    <t>With a goal USD amount of $1, Raccoon Tycoon: The Fat Cat Expansion has the lowest goal value.</t>
  </si>
  <si>
    <t>Answer</t>
  </si>
  <si>
    <t>what the lowest goal USD amount is in our dataset?</t>
  </si>
  <si>
    <t>Questions</t>
  </si>
  <si>
    <t>Backers count</t>
  </si>
  <si>
    <t>Sum</t>
  </si>
  <si>
    <t>Minimum</t>
  </si>
  <si>
    <t>Maximum</t>
  </si>
  <si>
    <t>Average</t>
  </si>
  <si>
    <t>Median</t>
  </si>
  <si>
    <t>backers_count_corrected</t>
  </si>
  <si>
    <t>Countries</t>
  </si>
  <si>
    <t>Count_Contries</t>
  </si>
  <si>
    <t>SUM</t>
  </si>
  <si>
    <t>Unique categories</t>
  </si>
  <si>
    <t>Count</t>
  </si>
  <si>
    <t>Average pledged USD tabletop</t>
  </si>
  <si>
    <t>What is the average pledged_USD for all successful tabletop games?</t>
  </si>
  <si>
    <t>Analysis</t>
  </si>
  <si>
    <t>12846160-Hex Tile Content Add-Ons For Mapforge Map-Making Software</t>
  </si>
  <si>
    <t>13547406-Epic Stuff Library Vol 4: D&amp;D 5E/Pathfinder Adaptable.</t>
  </si>
  <si>
    <t>20761861-Our House: The Lore Driven Card Game</t>
  </si>
  <si>
    <t>30059044-Zombicide: 2Nd Edition</t>
  </si>
  <si>
    <t>49752892-Longest Number Ever Written</t>
  </si>
  <si>
    <t>52444976-Dead+Gone: A Competitive Horror Game</t>
  </si>
  <si>
    <t>61166675-The Oracle Of Heaven And Hell</t>
  </si>
  <si>
    <t>63381877-Dwarf Board Game</t>
  </si>
  <si>
    <t>92129914-Traveller Fifth Edition</t>
  </si>
  <si>
    <t>96526024-My Pad</t>
  </si>
  <si>
    <t>148612159-In Thoth'S Wake - Zine Quest Edition!</t>
  </si>
  <si>
    <t>154179006-Over The Hills 2Nd Edition - The Napoleonic Wargames Rules</t>
  </si>
  <si>
    <t>165906545-Capone: The Business Of Prohibition</t>
  </si>
  <si>
    <t>182072441-The Empath Tarot: For Inner Healing</t>
  </si>
  <si>
    <t>189035699-Mutants Et Zombie</t>
  </si>
  <si>
    <t>191795368-Playing Cards: The Jedi Of The Old Republic</t>
  </si>
  <si>
    <t>194146399-Azote Playing Cards | First Edition</t>
  </si>
  <si>
    <t>229060132-Monster Menagerie: Gruesome Foes</t>
  </si>
  <si>
    <t>255478760-Hit The Streets: Defend The Block Tabletop Rpg</t>
  </si>
  <si>
    <t>257726009-Dice Palace: Display &amp; Storage Case For Dice &amp; Miniatures</t>
  </si>
  <si>
    <t>265338582-Peculiarity Oracle, Sacred Space And Beautiful Word Cards</t>
  </si>
  <si>
    <t>272156229-Doublesix Dice: Generation Two</t>
  </si>
  <si>
    <t>279753888-The World Of The Lost Lands</t>
  </si>
  <si>
    <t>283822315-Super Dude Jump</t>
  </si>
  <si>
    <t>302537271-Sloosh Cards</t>
  </si>
  <si>
    <t>310730322-Dice Friend - Innovative Dice Tray &amp; Dice Bag - 2 In 1</t>
  </si>
  <si>
    <t>310781283-Dungeon Craft: Build Your Own Battle Maps!</t>
  </si>
  <si>
    <t>328751672-The Mana Pool For Magic The Gathering</t>
  </si>
  <si>
    <t>343166008-Rpg Pins Show Off Your Love Of Roleplaying Games! Series 1.5</t>
  </si>
  <si>
    <t>375484295-Way Of The Samurai</t>
  </si>
  <si>
    <t>375970229-Budzzles...It'S A Bud, It'S A Puzzle, It'S A Budzzle!</t>
  </si>
  <si>
    <t>376043872-Fief: The Lords Miniatures! Ks Exclusive!</t>
  </si>
  <si>
    <t>376134156-Warbands Of The Dark Beyond</t>
  </si>
  <si>
    <t>378511446-Sensory White Playing Cards By Lunzi</t>
  </si>
  <si>
    <t>379865899-Tremor</t>
  </si>
  <si>
    <t>397149344-Bellum Sacrum Card Game</t>
  </si>
  <si>
    <t>414028537-Aether Studios - Swamp Of Sorrows</t>
  </si>
  <si>
    <t>433917839-Dark Streets &amp; Darker Secrets</t>
  </si>
  <si>
    <t>434016760-Sovereign Skies</t>
  </si>
  <si>
    <t>446366581-Doublehead Kids</t>
  </si>
  <si>
    <t>456024909-Mission Adventure</t>
  </si>
  <si>
    <t>470556307-Electric Volleyball: Led Volleyball Net</t>
  </si>
  <si>
    <t>474040495-Breachstorm: Reloaded - 30Mm Sci-Fi Miniatures</t>
  </si>
  <si>
    <t>489200715-Sea Shanties: A Pirate-Centric Board Game</t>
  </si>
  <si>
    <t>490205120-A Collection Based Game For People To Show Off</t>
  </si>
  <si>
    <t>506366660-Secrets Of The World Harvesters</t>
  </si>
  <si>
    <t>526646207-Vengeance : Director'S Cut</t>
  </si>
  <si>
    <t>528402382-Reaping At River'S End For 5E And S&amp;W Rpg!</t>
  </si>
  <si>
    <t>570716639-Night Parade Of 100 Demons: The Board Game (English)</t>
  </si>
  <si>
    <t>575542112-Gaym</t>
  </si>
  <si>
    <t>599991695-First Us Fantasy Sports Site For Women'S Leagues: She Plays</t>
  </si>
  <si>
    <t>603218921-Football Fantasy, A First-And-Dungeon Zine.</t>
  </si>
  <si>
    <t>614983062-The Umerican Road Atlas And Umerica Unnatural</t>
  </si>
  <si>
    <t>675733053-Fantasy Towers In Stl Format For 3D Printing</t>
  </si>
  <si>
    <t>691012156-Ashes To Ashes - Ks Exclusive Game</t>
  </si>
  <si>
    <t>693521123-Aeon'S End: The New Age</t>
  </si>
  <si>
    <t>697419301-The Bridge Of The Damned</t>
  </si>
  <si>
    <t>722089197-Monster Cards: Dnd 5E Reference Cards</t>
  </si>
  <si>
    <t>746887439-Cash Quiz Live: Making Ads Fun, Challenging, &amp; Rewarding</t>
  </si>
  <si>
    <t>757326786-Dice &amp; Ink: A Roll &amp; Write Anthology</t>
  </si>
  <si>
    <t>795830281-Japanese Mythology For Dungeons &amp; Dragons 5E And Pathfinder</t>
  </si>
  <si>
    <t>799327001-28Mm Scale Orc Defence Turrets</t>
  </si>
  <si>
    <t>833136941-Alkemy, Rados Cults</t>
  </si>
  <si>
    <t>851252173-Nude Figure Playing Cards</t>
  </si>
  <si>
    <t>859519481-Musical Breakout</t>
  </si>
  <si>
    <t>887539225-Equality // Integrity \\\\ Justice Playing Cards</t>
  </si>
  <si>
    <t>919862684-Tabletop Terrain From Xps Foam: Buildings</t>
  </si>
  <si>
    <t>921603041-Critical Dice</t>
  </si>
  <si>
    <t>935058626-Burrows &amp; Badgers: Great &amp; Small Anthro Minis By Oathsworn</t>
  </si>
  <si>
    <t>965417878-Lux Runa: Metal Playing Cards</t>
  </si>
  <si>
    <t>999093282-The 72 Angels Talisman Coins &amp; Spiritual Cards</t>
  </si>
  <si>
    <t>1010252246-Pixel Blocks By Little Problem Solvers</t>
  </si>
  <si>
    <t>1038316883-Quests And Chaos Merchandise Launch</t>
  </si>
  <si>
    <t>1050302600-Team Stack Cup - The Game</t>
  </si>
  <si>
    <t>1070138616-Dance Of Death Playing Cards - Limited 1,2,3 Deck Of Cards</t>
  </si>
  <si>
    <t>1131233975-Perfecttrine - Playing Cards</t>
  </si>
  <si>
    <t>1134572644-Monolith Playing Cards</t>
  </si>
  <si>
    <t>1185465369-Odyssey: Anthropos</t>
  </si>
  <si>
    <t>1191044112-Mosaic The Board Game.</t>
  </si>
  <si>
    <t>1191456933-Us National Park Playing Cards</t>
  </si>
  <si>
    <t>1204514267-Attribute Dice</t>
  </si>
  <si>
    <t>1216759387-Medieval, 3D Printable Terrain For Tabletop And Modeling</t>
  </si>
  <si>
    <t>1221572723-Murder Mystery Manor</t>
  </si>
  <si>
    <t>1235953202-Castles &amp; Crusades Codex Egyptium</t>
  </si>
  <si>
    <t>1268024169-Titans: Historical Fantasy Miniature Board Game</t>
  </si>
  <si>
    <t>1286829186-Dado</t>
  </si>
  <si>
    <t>1292186083-Iwari</t>
  </si>
  <si>
    <t>1293602338-Steve Hampson'S Tabletop Games Kickstarter Report 2019</t>
  </si>
  <si>
    <t>1302123934-Incoming Transmission: Coop Deduction Boardgame (Plus App!)</t>
  </si>
  <si>
    <t>1321289146-Rod, Reel, &amp; Fist</t>
  </si>
  <si>
    <t>1325891740-Camp Pinetop</t>
  </si>
  <si>
    <t>1336875210-Montana: Goldrush &amp; Longhorns (Heritage Edition Expansions)</t>
  </si>
  <si>
    <t>1342385545-The Spy Game: 5Th Edition Action/Espionage Roleplaying Game</t>
  </si>
  <si>
    <t>1361589531-Space Raiders - The Space Goblins!</t>
  </si>
  <si>
    <t>1384863013-Insecta; A Transformations Deck Of Intricate Insects</t>
  </si>
  <si>
    <t>1388623378-Mine City</t>
  </si>
  <si>
    <t>1389755413-Devil Dogs: Belleau Wood 1918</t>
  </si>
  <si>
    <t>1428354446-The Few And Cursed: Board Game</t>
  </si>
  <si>
    <t>1430382857-Capers Covert Rpg</t>
  </si>
  <si>
    <t>1433669141-American Civil War Printable Terrain Tabletop And Modeling</t>
  </si>
  <si>
    <t>1439972235-Spark: The Magic Of Storytelling</t>
  </si>
  <si>
    <t>1471383303-Heritage Luxury Playing Cards ‚Îç Printed By Cartamundi</t>
  </si>
  <si>
    <t>1475393080-G.O.H.K (Game Of Hong Kong)</t>
  </si>
  <si>
    <t>1482962260-Blume</t>
  </si>
  <si>
    <t>1485641700-The Road To Hell - 3D Print-Ready Models</t>
  </si>
  <si>
    <t>1487861879-Monsters Of The Underworld For 5E</t>
  </si>
  <si>
    <t>1494377696-Talespire</t>
  </si>
  <si>
    <t>1511224826-Space Base Ii -Futuristic / Apocalyptic Scenery Stls In 28Mm</t>
  </si>
  <si>
    <t>1513076599-Dice Spell Tracker</t>
  </si>
  <si>
    <t>1561309532-Raccoon Tycoon: The Fat Cat Expansion</t>
  </si>
  <si>
    <t>1571195851-Amazons!</t>
  </si>
  <si>
    <t>1588933145-Warchess</t>
  </si>
  <si>
    <t>1623104570-Dry Erase Game Tokens</t>
  </si>
  <si>
    <t>1626880018-Cochin Industrial District: 3D Printable World Building</t>
  </si>
  <si>
    <t>1630292080-Matter Playing Cards</t>
  </si>
  <si>
    <t>1635215446-Endeavor: Age Of Expansion</t>
  </si>
  <si>
    <t>1681980700-The Which Way? Coding Board Game</t>
  </si>
  <si>
    <t>1683781890-Bridgehouse Playing Cards</t>
  </si>
  <si>
    <t>1699038054-Maximum Mayhem Dungeons #7: Dread Swamp Of The Banshee</t>
  </si>
  <si>
    <t>1702433350-Axis Playing Cards</t>
  </si>
  <si>
    <t>1713322204-Terraforming Mars: Turmoil</t>
  </si>
  <si>
    <t>1713457614-Dungeon Crawl Classics: Soul For The Ocean Dark</t>
  </si>
  <si>
    <t>1719736684-Vampire Cards: Specialized Playing Cards!</t>
  </si>
  <si>
    <t>1738093236-6Th Sense Connection Oracle Cards</t>
  </si>
  <si>
    <t>1748213057-Bolabots (Steam Game)</t>
  </si>
  <si>
    <t>1788831436-Metal Gods Of Ur-Hadad Zine Returns!</t>
  </si>
  <si>
    <t>1793298287-Flight Club: Performance Artwork And Live Street Game</t>
  </si>
  <si>
    <t>1801538018-Night Life Tabletop Game</t>
  </si>
  <si>
    <t>1812075920-The Mescalaro Prophecy: Dungeons And Dragons Adventure (5E)</t>
  </si>
  <si>
    <t>1821926377-The Hedgehog Hop</t>
  </si>
  <si>
    <t>1835829695-Storosso, New Beach, Backyard, Tailgate Game (Canceled)</t>
  </si>
  <si>
    <t>1851778839-Bullship! - Never Trust A Pirate!</t>
  </si>
  <si>
    <t>1859070850-Savage Realms - Escape From Darkmoor Keep</t>
  </si>
  <si>
    <t>1884324378-Handsome - An Elegant Wordgame By Tc Petty Iii</t>
  </si>
  <si>
    <t>1884678356-King H√Πng Era</t>
  </si>
  <si>
    <t>1905254051-Matryoshka: A Set-Collection And Trading Game For 3-5P</t>
  </si>
  <si>
    <t>1925222935-Catch The Letch</t>
  </si>
  <si>
    <t>1926175052-Troll'S Teeth: A Tabletop Rpg Game Of Chance‚Ñ¢</t>
  </si>
  <si>
    <t>1929508597-Fearsome Critters</t>
  </si>
  <si>
    <t>1950581568-53 Films</t>
  </si>
  <si>
    <t>1951658552-Twist Gaming - Year 4</t>
  </si>
  <si>
    <t>1975006817-Burgle Bros 2: The Casino Capers</t>
  </si>
  <si>
    <t>1977071313-Cigar Box Battle - Double Sided Battle Mats! New Designs!</t>
  </si>
  <si>
    <t>1997832529-Wooden Exquisite Collection Playing Cards Display</t>
  </si>
  <si>
    <t>2001270294-Double Cards - Cards That Give You Choices</t>
  </si>
  <si>
    <t>2001427184-The 1 Dollar Campaign: Break Kickstarter</t>
  </si>
  <si>
    <t>2017245526-Emberlord</t>
  </si>
  <si>
    <t>2033432418-Prowlers &amp; Paragons Ultimate Edition</t>
  </si>
  <si>
    <t>2034458156-Magic Trick Science Tutoring Package, Fool Your Fellow!</t>
  </si>
  <si>
    <t>2061303985-Drunko Card - Game Nights Now Officially Forgettable</t>
  </si>
  <si>
    <t>2063533927-Highlords Firstborn Playing Cards - Volume 1 Fantasy Series</t>
  </si>
  <si>
    <t>2131317332-Open Cards, Open Hearts</t>
  </si>
  <si>
    <t>Orlando, FL</t>
  </si>
  <si>
    <t>Arlington, VA</t>
  </si>
  <si>
    <t>Nottingham, England</t>
  </si>
  <si>
    <t>Vancouver, BC</t>
  </si>
  <si>
    <t>Los Gatos, CA</t>
  </si>
  <si>
    <t>Lentate sul Seveso, Lombardy</t>
  </si>
  <si>
    <t>Phoenix, AZ</t>
  </si>
  <si>
    <t>Los Angeles, CA</t>
  </si>
  <si>
    <t>Virginia Beach, VA</t>
  </si>
  <si>
    <t>Oakland, CA</t>
  </si>
  <si>
    <t>Rochester, NY</t>
  </si>
  <si>
    <t>Guildford, England</t>
  </si>
  <si>
    <t>Seattle, WA</t>
  </si>
  <si>
    <t>Singapore, Central Singapore</t>
  </si>
  <si>
    <t>Poulsbo, WA</t>
  </si>
  <si>
    <t>Franklin, WI</t>
  </si>
  <si>
    <t>Philadelphia, PA</t>
  </si>
  <si>
    <t>Barcelona, Catalonia</t>
  </si>
  <si>
    <t>Rennes, Ile-de-France</t>
  </si>
  <si>
    <t>Seville, Andalusia</t>
  </si>
  <si>
    <t>Columbia, SC</t>
  </si>
  <si>
    <t>Ashland, OR</t>
  </si>
  <si>
    <t>Little Rock, AR</t>
  </si>
  <si>
    <t>Italia, Piedmont</t>
  </si>
  <si>
    <t>Kalamazoo, MI</t>
  </si>
  <si>
    <t>Astoria, NY</t>
  </si>
  <si>
    <t>Reading, England</t>
  </si>
  <si>
    <t>London, England</t>
  </si>
  <si>
    <t>Chicago, IL</t>
  </si>
  <si>
    <t>Paris, Ile-de-France</t>
  </si>
  <si>
    <t>Fremont, CA</t>
  </si>
  <si>
    <t>Denver, CO</t>
  </si>
  <si>
    <t>Ogden, UT</t>
  </si>
  <si>
    <t>Kissimmee, FL</t>
  </si>
  <si>
    <t>San Antonio, TX</t>
  </si>
  <si>
    <t>Tours, Centre</t>
  </si>
  <si>
    <t>Hampton, VA</t>
  </si>
  <si>
    <t>Collingswood, NJ</t>
  </si>
  <si>
    <t>Krempe, Schleswig-Holstein</t>
  </si>
  <si>
    <t>San Francisco, CA</t>
  </si>
  <si>
    <t>Hong Kong, Hong Kong Island</t>
  </si>
  <si>
    <t>New Brunswick, NJ</t>
  </si>
  <si>
    <t>Provo, UT</t>
  </si>
  <si>
    <t>East Lansing, MI</t>
  </si>
  <si>
    <t>New York, NY</t>
  </si>
  <si>
    <t>Brandon, MS</t>
  </si>
  <si>
    <t>Wales, England</t>
  </si>
  <si>
    <t>Naperville, IL</t>
  </si>
  <si>
    <t>Bretagne, Centre</t>
  </si>
  <si>
    <t>Boynton Beach, FL</t>
  </si>
  <si>
    <t>College Park, MD</t>
  </si>
  <si>
    <t>Durango, CO</t>
  </si>
  <si>
    <t>Salt Lake City, UT</t>
  </si>
  <si>
    <t>Hayward, CA</t>
  </si>
  <si>
    <t>Carrollton, GA</t>
  </si>
  <si>
    <t>Detroit, MI</t>
  </si>
  <si>
    <t>Perugia, Umbria</t>
  </si>
  <si>
    <t>Redmond, WA</t>
  </si>
  <si>
    <t>Bloomington, IL</t>
  </si>
  <si>
    <t>Pasadena, CA</t>
  </si>
  <si>
    <t>Oslo, Oslo Fylke</t>
  </si>
  <si>
    <t>Plainfield, IL</t>
  </si>
  <si>
    <t>Minneapolis, MN</t>
  </si>
  <si>
    <t>Vacaville, CA</t>
  </si>
  <si>
    <t>Matlock, England</t>
  </si>
  <si>
    <t>Charlottesville, VA</t>
  </si>
  <si>
    <t>Traverse City, MI</t>
  </si>
  <si>
    <t>Toronto, ON</t>
  </si>
  <si>
    <t>Houston, TX</t>
  </si>
  <si>
    <t>Salzburg, Salzburg</t>
  </si>
  <si>
    <t>Cintru√©nigo, Navarre</t>
  </si>
  <si>
    <t>Vancouver, WA</t>
  </si>
  <si>
    <t>Shacklefords, VA</t>
  </si>
  <si>
    <t>Portland, OR</t>
  </si>
  <si>
    <t>Coral Springs, FL</t>
  </si>
  <si>
    <t>Kiev, Kiev City Municipality</t>
  </si>
  <si>
    <t>DUMBO, NY</t>
  </si>
  <si>
    <t>Oshkosh, WI</t>
  </si>
  <si>
    <t>Edinburgh, Scotland</t>
  </si>
  <si>
    <t>Cologne, North Rhine-Westphalia</t>
  </si>
  <si>
    <t>Austin, TX</t>
  </si>
  <si>
    <t>New Albany, IN</t>
  </si>
  <si>
    <t>Nashville, TN</t>
  </si>
  <si>
    <t>Fort Collins, CO</t>
  </si>
  <si>
    <t>Marietta, GA</t>
  </si>
  <si>
    <t>Pozna≈Ñ, Lublin</t>
  </si>
  <si>
    <t>Berlin, Berlin</t>
  </si>
  <si>
    <t>Bydgoszcz, Kuiavia-Pomerania</t>
  </si>
  <si>
    <t>Beverly, MA</t>
  </si>
  <si>
    <t>Memphis, TN</t>
  </si>
  <si>
    <t>Calgary, AB</t>
  </si>
  <si>
    <t>Northampton, England</t>
  </si>
  <si>
    <t>Colorado Springs, CO</t>
  </si>
  <si>
    <t>Milano, Lombardy</t>
  </si>
  <si>
    <t>Cambridgeshire, England</t>
  </si>
  <si>
    <t>Surprise, AZ</t>
  </si>
  <si>
    <t>Centerville, UT</t>
  </si>
  <si>
    <t>Bangor, PA</t>
  </si>
  <si>
    <t>Richmond, VA</t>
  </si>
  <si>
    <t>Miami, FL</t>
  </si>
  <si>
    <t>Manniku, Laane-Viru County</t>
  </si>
  <si>
    <t>Sydney, NSW</t>
  </si>
  <si>
    <t>Montesson, Ile-de-France</t>
  </si>
  <si>
    <t>Fort Worth, TX</t>
  </si>
  <si>
    <t>Boston, MA</t>
  </si>
  <si>
    <t>Saginaw, MI</t>
  </si>
  <si>
    <t>Santa Cruz de Tenerife, Canary Islands</t>
  </si>
  <si>
    <t>Launceston, TAS</t>
  </si>
  <si>
    <t>Cincinnati, OH</t>
  </si>
  <si>
    <t>Bordeaux, Aquitaine</t>
  </si>
  <si>
    <t>Winchester, England</t>
  </si>
  <si>
    <t>Rome, Lazio</t>
  </si>
  <si>
    <t>Orem, UT</t>
  </si>
  <si>
    <t>Stevens Point, WI</t>
  </si>
  <si>
    <t>Hamburg, Hamburg</t>
  </si>
  <si>
    <t>Idaho Falls, ID</t>
  </si>
  <si>
    <t>Atlanta, GA</t>
  </si>
  <si>
    <t>Cheung Chau, Outlying Islands</t>
  </si>
  <si>
    <t>County Durham, England</t>
  </si>
  <si>
    <t>Longview, TX</t>
  </si>
  <si>
    <t>Porto Mantovano, Lombardy</t>
  </si>
  <si>
    <t>Burbank, CA</t>
  </si>
  <si>
    <t>Marlborough, MA</t>
  </si>
  <si>
    <t>Karvin√°, Moravian-Silesian Region</t>
  </si>
  <si>
    <t>Norway</t>
  </si>
  <si>
    <t>Ukraine</t>
  </si>
  <si>
    <t>Poland</t>
  </si>
  <si>
    <t>Estonia</t>
  </si>
  <si>
    <t>Australia</t>
  </si>
  <si>
    <t>live games</t>
  </si>
  <si>
    <t>mobile games</t>
  </si>
  <si>
    <t>tabletop games</t>
  </si>
  <si>
    <t>playing cards</t>
  </si>
  <si>
    <t>puzzles</t>
  </si>
  <si>
    <t>false</t>
  </si>
  <si>
    <t>true</t>
  </si>
  <si>
    <t>Name</t>
  </si>
  <si>
    <t>Country</t>
  </si>
  <si>
    <t>category</t>
  </si>
  <si>
    <t>how many unique categories these games fall into?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</si>
</sst>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([$$-409]* #,##0.00_);_([$$-409]* \(#,##0.00\);_([$$-409]* &quot;-&quot;??_);_(@_)"/>
    <numFmt numFmtId="166" formatCode="_([$$-409]* #,##0.0_);_([$$-409]* \(#,##0.0\);_([$$-409]* &quot;-&quot;??_);_(@_)"/>
    <numFmt numFmtId="176" formatCode="_([$$-409]* #,##0_);_([$$-409]* \(#,##0\);_([$$-409]* &quot;-&quot;??_);_(@_)"/>
    <numFmt numFmtId="178" formatCode="_(&quot;$&quot;* #,##0_);_(&quot;$&quot;* \(#,##0\);_(&quot;$&quot;* &quot;-&quot;??_);_(@_)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59595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2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/>
    </xf>
    <xf numFmtId="14" fontId="18" fillId="0" borderId="0" xfId="0" applyNumberFormat="1" applyFont="1"/>
    <xf numFmtId="49" fontId="0" fillId="0" borderId="0" xfId="0" applyNumberFormat="1"/>
    <xf numFmtId="49" fontId="18" fillId="0" borderId="0" xfId="0" applyNumberFormat="1" applyFont="1"/>
    <xf numFmtId="164" fontId="0" fillId="0" borderId="0" xfId="42" applyFont="1"/>
    <xf numFmtId="49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166" fontId="0" fillId="0" borderId="0" xfId="0" applyNumberFormat="1"/>
    <xf numFmtId="49" fontId="13" fillId="0" borderId="0" xfId="0" applyNumberFormat="1" applyFont="1"/>
    <xf numFmtId="0" fontId="13" fillId="0" borderId="0" xfId="0" applyFont="1"/>
    <xf numFmtId="0" fontId="13" fillId="0" borderId="0" xfId="0" applyFont="1" applyAlignment="1">
      <alignment horizontal="left"/>
    </xf>
    <xf numFmtId="0" fontId="13" fillId="33" borderId="10" xfId="0" applyFont="1" applyFill="1" applyBorder="1"/>
    <xf numFmtId="0" fontId="0" fillId="0" borderId="0" xfId="0" applyAlignment="1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" fontId="18" fillId="0" borderId="0" xfId="0" applyNumberFormat="1" applyFont="1"/>
    <xf numFmtId="165" fontId="18" fillId="0" borderId="0" xfId="0" applyNumberFormat="1" applyFont="1"/>
    <xf numFmtId="0" fontId="16" fillId="0" borderId="0" xfId="0" applyFont="1"/>
    <xf numFmtId="0" fontId="16" fillId="34" borderId="0" xfId="0" applyFont="1" applyFill="1"/>
    <xf numFmtId="0" fontId="13" fillId="33" borderId="0" xfId="0" applyFont="1" applyFill="1" applyBorder="1"/>
    <xf numFmtId="0" fontId="20" fillId="35" borderId="0" xfId="0" applyFont="1" applyFill="1" applyAlignment="1">
      <alignment horizontal="center"/>
    </xf>
    <xf numFmtId="0" fontId="21" fillId="36" borderId="0" xfId="0" applyFont="1" applyFill="1"/>
    <xf numFmtId="0" fontId="21" fillId="0" borderId="0" xfId="0" applyFont="1"/>
    <xf numFmtId="2" fontId="0" fillId="0" borderId="0" xfId="0" applyNumberFormat="1"/>
    <xf numFmtId="0" fontId="13" fillId="0" borderId="0" xfId="0" applyFont="1" applyAlignment="1">
      <alignment horizontal="center"/>
    </xf>
    <xf numFmtId="165" fontId="0" fillId="0" borderId="0" xfId="0" applyNumberFormat="1"/>
    <xf numFmtId="176" fontId="0" fillId="0" borderId="0" xfId="0" applyNumberFormat="1"/>
    <xf numFmtId="178" fontId="16" fillId="0" borderId="0" xfId="42" applyNumberFormat="1" applyFont="1" applyAlignment="1">
      <alignment horizontal="center"/>
    </xf>
    <xf numFmtId="178" fontId="0" fillId="0" borderId="0" xfId="42" applyNumberFormat="1" applyFont="1"/>
    <xf numFmtId="0" fontId="21" fillId="38" borderId="11" xfId="0" applyFont="1" applyFill="1" applyBorder="1"/>
    <xf numFmtId="0" fontId="13" fillId="39" borderId="0" xfId="0" applyFont="1" applyFill="1" applyAlignment="1">
      <alignment horizontal="center"/>
    </xf>
    <xf numFmtId="0" fontId="22" fillId="37" borderId="13" xfId="0" applyFont="1" applyFill="1" applyBorder="1"/>
    <xf numFmtId="1" fontId="21" fillId="38" borderId="12" xfId="0" applyNumberFormat="1" applyFont="1" applyFill="1" applyBorder="1"/>
    <xf numFmtId="0" fontId="13" fillId="39" borderId="15" xfId="13" applyFill="1" applyBorder="1"/>
    <xf numFmtId="0" fontId="0" fillId="40" borderId="14" xfId="0" applyFill="1" applyBorder="1"/>
    <xf numFmtId="43" fontId="21" fillId="38" borderId="11" xfId="43" applyFont="1" applyFill="1" applyBorder="1"/>
    <xf numFmtId="0" fontId="22" fillId="37" borderId="16" xfId="0" applyFont="1" applyFill="1" applyBorder="1"/>
    <xf numFmtId="0" fontId="23" fillId="38" borderId="11" xfId="0" applyFont="1" applyFill="1" applyBorder="1"/>
    <xf numFmtId="0" fontId="22" fillId="37" borderId="17" xfId="0" applyFont="1" applyFill="1" applyBorder="1"/>
    <xf numFmtId="0" fontId="22" fillId="37" borderId="18" xfId="0" applyFont="1" applyFill="1" applyBorder="1"/>
    <xf numFmtId="0" fontId="0" fillId="0" borderId="19" xfId="0" applyBorder="1"/>
    <xf numFmtId="0" fontId="16" fillId="0" borderId="20" xfId="0" applyFont="1" applyBorder="1" applyAlignment="1">
      <alignment horizontal="center"/>
    </xf>
    <xf numFmtId="0" fontId="0" fillId="0" borderId="20" xfId="0" applyBorder="1"/>
    <xf numFmtId="0" fontId="13" fillId="41" borderId="0" xfId="0" applyFont="1" applyFill="1" applyAlignment="1">
      <alignment horizontal="center" vertical="center"/>
    </xf>
    <xf numFmtId="0" fontId="13" fillId="41" borderId="21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19" formatCode="dd/mm/yyyy"/>
    </dxf>
    <dxf>
      <numFmt numFmtId="19" formatCode="dd/mm/yyyy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8" formatCode="_(&quot;$&quot;* #,##0_);_(&quot;$&quot;* \(#,##0\);_(&quot;$&quot;* &quot;-&quot;??_);_(@_)"/>
    </dxf>
    <dxf>
      <numFmt numFmtId="176" formatCode="_([$$-409]* #,##0_);_([$$-409]* \(#,##0\);_([$$-409]* &quot;-&quot;??_);_(@_)"/>
    </dxf>
    <dxf>
      <numFmt numFmtId="165" formatCode="_([$$-409]* #,##0.00_);_([$$-409]* \(#,##0.00\);_([$$-409]* &quot;-&quot;??_);_(@_)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5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A621C5-8BAF-5D42-AC95-E5FC33D7B926}" name="Table5" displayName="Table5" ref="A1:AF153" totalsRowShown="0" headerRowDxfId="31">
  <autoFilter ref="A1:AF153" xr:uid="{96A621C5-8BAF-5D42-AC95-E5FC33D7B926}"/>
  <tableColumns count="32">
    <tableColumn id="1" xr3:uid="{D557A045-EE09-0444-8B3E-59F21EF36BE6}" name="id" dataDxfId="28"/>
    <tableColumn id="2" xr3:uid="{7B01C024-7586-C14F-AC06-F0E6EDDB4A63}" name="name"/>
    <tableColumn id="24" xr3:uid="{8C5E49FB-1C0A-D249-95DC-528214ACE62A}" name="Proper_Name" dataDxfId="27">
      <calculatedColumnFormula>CONCATENATE(Table5[[#This Row],[id]], "-", PROPER(Table5[[#This Row],[name]]))</calculatedColumnFormula>
    </tableColumn>
    <tableColumn id="3" xr3:uid="{E5E461DD-D231-8E44-9A93-AC86EDD3CF6F}" name="created_at" dataDxfId="39"/>
    <tableColumn id="4" xr3:uid="{54C656B7-8DD0-1B4E-A87E-D6AA83F51C63}" name="launched_at" dataDxfId="38"/>
    <tableColumn id="5" xr3:uid="{AFDD5984-FF28-0E47-AD15-F11A75CA2C36}" name="deadline" dataDxfId="37"/>
    <tableColumn id="6" xr3:uid="{719E9A19-1792-A146-9C6F-CB402EC4A3E5}" name="funding_period" dataDxfId="36">
      <calculatedColumnFormula>F2-E2</calculatedColumnFormula>
    </tableColumn>
    <tableColumn id="7" xr3:uid="{4221E0DA-E425-F648-95E5-7C1941E634CD}" name="launched_at_day" dataDxfId="35">
      <calculatedColumnFormula>WEEKDAY(E2,2)</calculatedColumnFormula>
    </tableColumn>
    <tableColumn id="8" xr3:uid="{1D059967-8714-3440-A45C-6527EBDE423A}" name="launched_at_month" dataDxfId="34">
      <calculatedColumnFormula>MONTH(E2)</calculatedColumnFormula>
    </tableColumn>
    <tableColumn id="9" xr3:uid="{F3B37C34-00F9-D441-9606-AA327C381096}" name="Exact_match"/>
    <tableColumn id="28" xr3:uid="{EED7751E-CA8E-8044-A71E-407A010500B5}" name="backers_count"/>
    <tableColumn id="37" xr3:uid="{A5B485B4-7169-BA45-8CF6-3DCAD3B40D19}" name="backers_count_corrected" dataDxfId="16">
      <calculatedColumnFormula>IF(OR(I2=1,I2=9), IF(AND(U2="Vancouver", Y2= "Canada"),K2+5, K2), K2)</calculatedColumnFormula>
    </tableColumn>
    <tableColumn id="10" xr3:uid="{1D1BBAC6-7067-304E-B7F4-9BF595912634}" name="Project_Length(Days)" dataDxfId="33">
      <calculatedColumnFormula>F2-E2</calculatedColumnFormula>
    </tableColumn>
    <tableColumn id="11" xr3:uid="{1937B863-10C3-F24E-85D3-CD24EF9AD9F0}" name="currency"/>
    <tableColumn id="20" xr3:uid="{E340B0A5-92FC-B940-B244-B9610BF3DDDE}" name="Exchange_rate" dataDxfId="30">
      <calculatedColumnFormula>VLOOKUP(Table5[[#This Row],[currency]],Table3[],2)</calculatedColumnFormula>
    </tableColumn>
    <tableColumn id="12" xr3:uid="{8F6C70AC-8775-194E-BA85-7FECD1503BF2}" name="pledged" dataDxfId="29"/>
    <tableColumn id="21" xr3:uid="{E0E4D22D-A97A-BD4F-9AA5-F22FA7A6E709}" name="Pledged_USD" dataDxfId="26">
      <calculatedColumnFormula>Table5[[#This Row],[pledged]]*Table5[[#This Row],[Exchange_rate]]</calculatedColumnFormula>
    </tableColumn>
    <tableColumn id="27" xr3:uid="{4B0946A4-8331-4F4F-8363-5B0F497CDD06}" name="Pledged_rounded" dataDxfId="25">
      <calculatedColumnFormula>ROUND(Table5[[#This Row],[Pledged_USD]],0)</calculatedColumnFormula>
    </tableColumn>
    <tableColumn id="13" xr3:uid="{1AA6CDBF-CEEF-A048-BC8D-1ECAA65B21AF}" name="goal_USD" dataDxfId="24" dataCellStyle="Currency"/>
    <tableColumn id="31" xr3:uid="{C3667359-3E90-4541-8EB4-FE5267BAE328}" name="goal_USD_numeric" dataDxfId="23" dataCellStyle="Currency">
      <calculatedColumnFormula>VALUE(Table5[[#This Row],[goal_USD]])</calculatedColumnFormula>
    </tableColumn>
    <tableColumn id="14" xr3:uid="{BA07CBE8-57EB-BE4C-AB39-113BB7E54124}" name="city"/>
    <tableColumn id="15" xr3:uid="{2EBE01A9-4D70-9B49-8030-BD17F5FCDF38}" name="state"/>
    <tableColumn id="30" xr3:uid="{8E7B77FF-4611-474C-9F21-EB9FB08602CC}" name="location" dataDxfId="18">
      <calculatedColumnFormula>CONCATENATE(U2, ", ", V2)</calculatedColumnFormula>
    </tableColumn>
    <tableColumn id="16" xr3:uid="{C695BEB5-206F-2C47-A5E1-43D47C60B4D1}" name="country"/>
    <tableColumn id="32" xr3:uid="{7A8A6321-E5C5-9A46-AA37-2F5CD7310942}" name="country_trimmed" dataDxfId="19">
      <calculatedColumnFormula>TRIM(X2)</calculatedColumnFormula>
    </tableColumn>
    <tableColumn id="17" xr3:uid="{7FDF3FDC-889A-C84F-A5AE-82257AB3A600}" name="source_url"/>
    <tableColumn id="33" xr3:uid="{132269A2-218A-EE45-9D14-2DD23B8713B3}" name="source_url_length" dataDxfId="22">
      <calculatedColumnFormula>LEN("https://www.kickstarter.com/discover/categories/games/")</calculatedColumnFormula>
    </tableColumn>
    <tableColumn id="34" xr3:uid="{9B83C7ED-F682-B546-ABD0-68073C8FFAD3}" name="source_url_category" dataDxfId="20">
      <calculatedColumnFormula>RIGHT(Z2,LEN(Z2)-54)</calculatedColumnFormula>
    </tableColumn>
    <tableColumn id="35" xr3:uid="{0EFD2439-A042-4249-8724-38357773D102}" name="source_url_category_cleaned" dataDxfId="21">
      <calculatedColumnFormula>SUBSTITUTE(Table5[[#This Row],[source_url_category]], "%20", " ")</calculatedColumnFormula>
    </tableColumn>
    <tableColumn id="18" xr3:uid="{76DAC10B-7D11-A647-99BE-CED7A86F6243}" name="staff_pick" dataDxfId="32"/>
    <tableColumn id="36" xr3:uid="{73BEB2F4-89D0-B442-9BFC-60BCE6109CB7}" name="staff_pick_lower" dataDxfId="17">
      <calculatedColumnFormula>LOWER(Table5[[#This Row],[staff_pick]])</calculatedColumnFormula>
    </tableColumn>
    <tableColumn id="19" xr3:uid="{01904FB5-03C6-C842-9DA4-45450E17A3CE}" name="statu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9BEC0D-7CDF-0C48-8C97-7BBC00CCAE24}" name="Table7" displayName="Table7" ref="A1:R153" totalsRowShown="0" headerRowDxfId="0">
  <autoFilter ref="A1:R153" xr:uid="{069BEC0D-7CDF-0C48-8C97-7BBC00CCAE24}"/>
  <tableColumns count="18">
    <tableColumn id="1" xr3:uid="{166FFA4A-4BA7-FE4E-8D52-4FA313040EA7}" name="Name" dataDxfId="15"/>
    <tableColumn id="2" xr3:uid="{0E4508B8-05D2-C341-B72A-2859F43E81B9}" name="created_at" dataDxfId="14"/>
    <tableColumn id="3" xr3:uid="{20EB511E-A7AE-8E40-8C65-30DA7BE07056}" name="launched_at" dataDxfId="13"/>
    <tableColumn id="4" xr3:uid="{6E6B47E2-E78A-0544-9231-41C8B8025BBA}" name="deadline" dataDxfId="12"/>
    <tableColumn id="5" xr3:uid="{3CEFE35F-2D1D-AF4F-B3B4-0CE1E4D34293}" name="funding_period" dataDxfId="11"/>
    <tableColumn id="6" xr3:uid="{3494AED6-CECE-9940-8F2C-90746EF6B594}" name="launched_at_day" dataDxfId="10"/>
    <tableColumn id="7" xr3:uid="{FEC9B26F-8D79-834D-8CED-D894EDA5D260}" name="launched_at_month" dataDxfId="9"/>
    <tableColumn id="8" xr3:uid="{E8941D27-AA4B-7544-A72D-741EDB0B7AA6}" name="backers_count" dataDxfId="8"/>
    <tableColumn id="9" xr3:uid="{A2F5B0ED-E2E2-6541-9DE5-DB2E7469FD94}" name="Project_Length(Days)" dataDxfId="7"/>
    <tableColumn id="10" xr3:uid="{1F8F2859-F8AE-1046-A0D6-CEAF7D965400}" name="currency"/>
    <tableColumn id="11" xr3:uid="{E8D126EF-76F7-4A40-B981-6E6D35F5CC69}" name="Exchange_rate" dataDxfId="6"/>
    <tableColumn id="12" xr3:uid="{D006A528-CABA-EB41-8608-8D648AB8538E}" name="Pledged_USD" dataDxfId="5" dataCellStyle="Currency"/>
    <tableColumn id="13" xr3:uid="{72E04514-7F60-8F48-8228-943F1A93DF38}" name="goal_USD" dataDxfId="4" dataCellStyle="Currency"/>
    <tableColumn id="14" xr3:uid="{262A22A4-0946-7741-837C-0959C22FB27A}" name="location" dataDxfId="3"/>
    <tableColumn id="15" xr3:uid="{5E3B8DB6-01E7-DB40-8E42-5AD1D0AEB1F7}" name="Country" dataDxfId="2"/>
    <tableColumn id="16" xr3:uid="{215ECCEF-FFBD-2A4A-9984-E25E82ED33D6}" name="category" dataDxfId="1"/>
    <tableColumn id="17" xr3:uid="{464090D6-E094-874F-828D-12ED31CC481D}" name="staff_pick_lower"/>
    <tableColumn id="18" xr3:uid="{A1D34E6B-1822-FA42-BBFF-16CD4874978F}" name="statu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D864B-0C96-464F-B2F5-4D97B1ACC528}" name="Table1" displayName="Table1" ref="A1:B13" totalsRowShown="0">
  <autoFilter ref="A1:B13" xr:uid="{1D60F88B-235A-A249-B01E-C9C3E4B83AB8}"/>
  <tableColumns count="2">
    <tableColumn id="1" xr3:uid="{AA72A1CC-4AC6-1244-BF10-A5AE431A36D4}" name="month_number"/>
    <tableColumn id="2" xr3:uid="{3FBD842F-7678-4A4F-B9E9-E2708EAE5A50}" name="month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A06F33-A478-0A42-8503-D226866470EB}" name="Table2" displayName="Table2" ref="E1:F8" totalsRowShown="0">
  <autoFilter ref="E1:F8" xr:uid="{CA8D1EC3-0346-3346-A9F6-8719A810DD3F}"/>
  <tableColumns count="2">
    <tableColumn id="1" xr3:uid="{4EEAD7EB-F30E-B54C-BFEC-71753A1B5D39}" name="weekday_number"/>
    <tableColumn id="2" xr3:uid="{82491DD2-D3F8-9349-87B4-1F94B4E2C548}" name="weekday_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F8A7CC-E2F5-AD42-8D05-28377E11536C}" name="Table3" displayName="Table3" ref="A1:B15" totalsRowShown="0">
  <autoFilter ref="A1:B15" xr:uid="{E2B3A8D3-6AE7-BD46-9709-42846FCC1719}"/>
  <tableColumns count="2">
    <tableColumn id="1" xr3:uid="{C70EBAC8-0BB3-0E41-B583-1883C89F16FD}" name="currency"/>
    <tableColumn id="2" xr3:uid="{1C043FA1-3DDE-8145-AA58-37A5976A25CB}" name="exchange_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9ADF26-4FCE-7240-B2DB-894F668566F1}" name="Table4" displayName="Table4" ref="A1:U104" totalsRowShown="0" headerRowDxfId="62" dataDxfId="61">
  <autoFilter ref="A1:U104" xr:uid="{629ADF26-4FCE-7240-B2DB-894F668566F1}"/>
  <tableColumns count="21">
    <tableColumn id="1" xr3:uid="{129951B8-7835-864A-9F5F-F8E58F50E484}" name="id" dataDxfId="60"/>
    <tableColumn id="2" xr3:uid="{D0750BEC-573F-D248-95EB-7B87D9BD0592}" name="name" dataDxfId="59"/>
    <tableColumn id="22" xr3:uid="{C30EB234-1936-2B49-9196-0BE1D68BFB15}" name="Concat Names" dataDxfId="58">
      <calculatedColumnFormula>CONCATENATE(Table4[[#This Row],[id]], "-", Table4[[#This Row],[name]])</calculatedColumnFormula>
    </tableColumn>
    <tableColumn id="3" xr3:uid="{C7010359-1CDC-B244-8104-13571DFA7C78}" name="created_at" dataDxfId="57"/>
    <tableColumn id="4" xr3:uid="{AB48CA85-7F29-4E46-845F-68AE2E2F02CA}" name="launched_at" dataDxfId="56"/>
    <tableColumn id="5" xr3:uid="{43841005-6341-0A48-BE77-8EEB8AD26C3E}" name="deadline" dataDxfId="55"/>
    <tableColumn id="19" xr3:uid="{91FAF185-AD03-4149-A1EC-CF3ED69BEDBB}" name="Exact_match" dataDxfId="54">
      <calculatedColumnFormula>EXACT(Table4[[#This Row],[created_at]],Table4[[#This Row],[launched_at]])</calculatedColumnFormula>
    </tableColumn>
    <tableColumn id="20" xr3:uid="{DF4A0862-65A0-C04C-9477-C589512598C3}" name="backers_count" dataDxfId="53"/>
    <tableColumn id="6" xr3:uid="{FF38DFAE-651C-324F-81B5-B04F5061D528}" name="currency" dataDxfId="52"/>
    <tableColumn id="23" xr3:uid="{E2A97E99-8549-454E-844D-549C4C6F27A8}" name="Currency_CAP" dataDxfId="51">
      <calculatedColumnFormula>UPPER(Table4[[#This Row],[currency]])</calculatedColumnFormula>
    </tableColumn>
    <tableColumn id="8" xr3:uid="{44B250F5-2104-4644-B520-407174D5A356}" name="static_usd_rate" dataDxfId="50"/>
    <tableColumn id="9" xr3:uid="{9CA54AE2-7CB6-C948-9522-F3A3BCAFF2C7}" name="pledged" dataDxfId="49"/>
    <tableColumn id="10" xr3:uid="{B14668B8-6D02-2E45-A67B-37975F09D17E}" name="usd_pledged" dataDxfId="48"/>
    <tableColumn id="11" xr3:uid="{034C9C71-2EEA-2E41-A71D-D1A37A172FE7}" name="goal" dataDxfId="47"/>
    <tableColumn id="12" xr3:uid="{11A70E81-2E6E-5940-86DF-5F056553B0D0}" name="city" dataDxfId="46"/>
    <tableColumn id="13" xr3:uid="{4D0185F7-9191-1D4E-ACF4-FD669FAC84DD}" name="state" dataDxfId="45"/>
    <tableColumn id="14" xr3:uid="{FEFF8FF5-072B-C642-AB33-DAB1A10E31DA}" name="country" dataDxfId="44"/>
    <tableColumn id="15" xr3:uid="{093357D8-BED7-E94A-BE2D-BAAB811F2748}" name="source_url" dataDxfId="43"/>
    <tableColumn id="16" xr3:uid="{FE0C9DBE-1F3C-B642-B540-4417513E7C7C}" name="staff_pick" dataDxfId="42"/>
    <tableColumn id="17" xr3:uid="{4D3E0880-9F71-7C44-86A9-56351017DEE3}" name="status" dataDxfId="41"/>
    <tableColumn id="21" xr3:uid="{04AC5EAE-0383-BF4C-8353-CA56B348DEC2}" name="Column1" dataDxfId="40">
      <calculatedColumnFormula>VALUE(Table4[[#This Row],[usd_pledged]])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9165-6BDD-0E49-929D-AB4F65714A9A}">
  <dimension ref="A1:AS153"/>
  <sheetViews>
    <sheetView topLeftCell="AF1" zoomScale="114" zoomScaleNormal="114" workbookViewId="0">
      <pane ySplit="1" topLeftCell="A2" activePane="bottomLeft" state="frozen"/>
      <selection activeCell="B1" sqref="B1"/>
      <selection pane="bottomLeft" activeCell="AP1" sqref="AP1:AS17"/>
    </sheetView>
  </sheetViews>
  <sheetFormatPr baseColWidth="10" defaultColWidth="11.33203125" defaultRowHeight="16" x14ac:dyDescent="0.2"/>
  <cols>
    <col min="1" max="1" width="11.33203125" style="6" bestFit="1" customWidth="1"/>
    <col min="2" max="2" width="60.33203125" bestFit="1" customWidth="1"/>
    <col min="3" max="3" width="66.5" bestFit="1" customWidth="1"/>
    <col min="4" max="4" width="15" style="1" bestFit="1" customWidth="1"/>
    <col min="5" max="5" width="16.1640625" style="1" bestFit="1" customWidth="1"/>
    <col min="6" max="6" width="13.1640625" style="1" bestFit="1" customWidth="1"/>
    <col min="7" max="7" width="18.83203125" style="1" bestFit="1" customWidth="1"/>
    <col min="8" max="8" width="20.5" style="1" bestFit="1" customWidth="1"/>
    <col min="9" max="9" width="23.33203125" style="1" bestFit="1" customWidth="1"/>
    <col min="10" max="10" width="14.33203125" bestFit="1" customWidth="1"/>
    <col min="11" max="11" width="16.1640625" bestFit="1" customWidth="1"/>
    <col min="12" max="12" width="28" bestFit="1" customWidth="1"/>
    <col min="13" max="13" width="22" bestFit="1" customWidth="1"/>
    <col min="14" max="14" width="13.1640625" bestFit="1" customWidth="1"/>
    <col min="15" max="15" width="18.33203125" bestFit="1" customWidth="1"/>
    <col min="16" max="16" width="12.6640625" bestFit="1" customWidth="1"/>
    <col min="17" max="17" width="17.33203125" bestFit="1" customWidth="1"/>
    <col min="18" max="18" width="21" bestFit="1" customWidth="1"/>
    <col min="19" max="19" width="15.6640625" style="35" bestFit="1" customWidth="1"/>
    <col min="20" max="20" width="23.5" style="35" bestFit="1" customWidth="1"/>
    <col min="21" max="21" width="19.83203125" bestFit="1" customWidth="1"/>
    <col min="22" max="22" width="22.33203125" bestFit="1" customWidth="1"/>
    <col min="23" max="23" width="33" bestFit="1" customWidth="1"/>
    <col min="24" max="24" width="15.83203125" bestFit="1" customWidth="1"/>
    <col min="25" max="25" width="20.6640625" bestFit="1" customWidth="1"/>
    <col min="26" max="26" width="66.5" bestFit="1" customWidth="1"/>
    <col min="27" max="27" width="21.33203125" bestFit="1" customWidth="1"/>
    <col min="28" max="28" width="23.33203125" bestFit="1" customWidth="1"/>
    <col min="29" max="29" width="31.5" bestFit="1" customWidth="1"/>
    <col min="30" max="30" width="14.33203125" bestFit="1" customWidth="1"/>
    <col min="31" max="31" width="20" bestFit="1" customWidth="1"/>
    <col min="32" max="32" width="11.1640625" bestFit="1" customWidth="1"/>
    <col min="34" max="34" width="11.83203125" bestFit="1" customWidth="1"/>
    <col min="35" max="35" width="18.5" bestFit="1" customWidth="1"/>
    <col min="36" max="36" width="11.33203125" style="49"/>
    <col min="37" max="37" width="25.1640625" bestFit="1" customWidth="1"/>
    <col min="38" max="38" width="12.33203125" bestFit="1" customWidth="1"/>
    <col min="42" max="42" width="14.33203125" bestFit="1" customWidth="1"/>
    <col min="43" max="43" width="14.5" bestFit="1" customWidth="1"/>
    <col min="44" max="44" width="8.1640625" bestFit="1" customWidth="1"/>
    <col min="45" max="45" width="12.33203125" bestFit="1" customWidth="1"/>
  </cols>
  <sheetData>
    <row r="1" spans="1:45" ht="17" thickTop="1" x14ac:dyDescent="0.2">
      <c r="A1" s="9" t="s">
        <v>9</v>
      </c>
      <c r="B1" s="10" t="s">
        <v>11</v>
      </c>
      <c r="C1" s="10" t="s">
        <v>751</v>
      </c>
      <c r="D1" s="11" t="s">
        <v>0</v>
      </c>
      <c r="E1" s="11" t="s">
        <v>1</v>
      </c>
      <c r="F1" s="11" t="s">
        <v>2</v>
      </c>
      <c r="G1" s="27" t="s">
        <v>746</v>
      </c>
      <c r="H1" s="27" t="s">
        <v>747</v>
      </c>
      <c r="I1" s="27" t="s">
        <v>748</v>
      </c>
      <c r="J1" s="16" t="s">
        <v>733</v>
      </c>
      <c r="K1" s="26" t="s">
        <v>4</v>
      </c>
      <c r="L1" s="27" t="s">
        <v>772</v>
      </c>
      <c r="M1" s="26" t="s">
        <v>745</v>
      </c>
      <c r="N1" s="31" t="s">
        <v>3</v>
      </c>
      <c r="O1" s="31" t="s">
        <v>749</v>
      </c>
      <c r="P1" s="10" t="s">
        <v>6</v>
      </c>
      <c r="Q1" s="10" t="s">
        <v>750</v>
      </c>
      <c r="R1" s="10" t="s">
        <v>752</v>
      </c>
      <c r="S1" s="34" t="s">
        <v>645</v>
      </c>
      <c r="T1" s="34" t="s">
        <v>754</v>
      </c>
      <c r="U1" s="10" t="s">
        <v>335</v>
      </c>
      <c r="V1" s="10" t="s">
        <v>14</v>
      </c>
      <c r="W1" s="10" t="s">
        <v>753</v>
      </c>
      <c r="X1" s="10" t="s">
        <v>10</v>
      </c>
      <c r="Y1" s="10" t="s">
        <v>755</v>
      </c>
      <c r="Z1" s="10" t="s">
        <v>12</v>
      </c>
      <c r="AA1" s="10" t="s">
        <v>756</v>
      </c>
      <c r="AB1" s="27" t="s">
        <v>744</v>
      </c>
      <c r="AC1" s="27" t="s">
        <v>757</v>
      </c>
      <c r="AD1" s="10" t="s">
        <v>13</v>
      </c>
      <c r="AE1" s="10" t="s">
        <v>758</v>
      </c>
      <c r="AF1" s="10" t="s">
        <v>336</v>
      </c>
      <c r="AH1" s="37" t="s">
        <v>735</v>
      </c>
      <c r="AI1" s="37" t="s">
        <v>736</v>
      </c>
      <c r="AJ1" s="47"/>
      <c r="AK1" s="51" t="s">
        <v>780</v>
      </c>
      <c r="AL1" s="50"/>
      <c r="AP1" s="40" t="s">
        <v>773</v>
      </c>
      <c r="AQ1" s="40" t="s">
        <v>774</v>
      </c>
      <c r="AR1" s="40" t="s">
        <v>775</v>
      </c>
      <c r="AS1" s="40" t="s">
        <v>770</v>
      </c>
    </row>
    <row r="2" spans="1:45" s="10" customFormat="1" x14ac:dyDescent="0.2">
      <c r="A2" s="18">
        <v>12846160</v>
      </c>
      <c r="B2" t="s">
        <v>235</v>
      </c>
      <c r="C2" t="str">
        <f>CONCATENATE(Table5[[#This Row],[id]], "-", PROPER(Table5[[#This Row],[name]]))</f>
        <v>12846160-Hex Tile Content Add-Ons For Mapforge Map-Making Software</v>
      </c>
      <c r="D2" s="1">
        <v>43521</v>
      </c>
      <c r="E2" s="1">
        <v>43549</v>
      </c>
      <c r="F2" s="1">
        <v>43609</v>
      </c>
      <c r="G2" s="18">
        <f>F2-E2</f>
        <v>60</v>
      </c>
      <c r="H2" s="18">
        <f>WEEKDAY(E2,2)</f>
        <v>1</v>
      </c>
      <c r="I2" s="18">
        <f>MONTH(E2)</f>
        <v>3</v>
      </c>
      <c r="J2" s="5" t="b">
        <f>EXACT(D2,E2)</f>
        <v>0</v>
      </c>
      <c r="K2" s="28">
        <v>138</v>
      </c>
      <c r="L2" s="28">
        <f t="shared" ref="L2:L33" si="0">IF(OR(I2=1,I2=9), IF(AND(U2="Vancouver", Y2= "Canada"),K2+5, K2), K2)</f>
        <v>138</v>
      </c>
      <c r="M2" s="22">
        <f>F2-E2</f>
        <v>60</v>
      </c>
      <c r="N2" t="s">
        <v>15</v>
      </c>
      <c r="O2">
        <f>VLOOKUP(Table5[[#This Row],[currency]],Table3[],2)</f>
        <v>1</v>
      </c>
      <c r="P2" s="18">
        <v>15047</v>
      </c>
      <c r="Q2" s="32">
        <f>Table5[[#This Row],[pledged]]*Table5[[#This Row],[Exchange_rate]]</f>
        <v>15047</v>
      </c>
      <c r="R2" s="33">
        <f>ROUND(Table5[[#This Row],[Pledged_USD]],0)</f>
        <v>15047</v>
      </c>
      <c r="S2" s="35">
        <v>15000</v>
      </c>
      <c r="T2" s="35">
        <f>VALUE(Table5[[#This Row],[goal_USD]])</f>
        <v>15000</v>
      </c>
      <c r="U2" t="s">
        <v>387</v>
      </c>
      <c r="V2" t="s">
        <v>665</v>
      </c>
      <c r="W2" t="str">
        <f t="shared" ref="W2:W33" si="1">CONCATENATE(U2, ", ", V2)</f>
        <v>Orlando, FL</v>
      </c>
      <c r="X2" t="s">
        <v>527</v>
      </c>
      <c r="Y2" t="str">
        <f t="shared" ref="Y2:Y33" si="2">TRIM(X2)</f>
        <v>United States</v>
      </c>
      <c r="Z2" t="s">
        <v>41</v>
      </c>
      <c r="AA2">
        <f t="shared" ref="AA2:AA33" si="3">LEN("https://www.kickstarter.com/discover/categories/games/")</f>
        <v>54</v>
      </c>
      <c r="AB2" t="str">
        <f t="shared" ref="AB2:AB33" si="4">RIGHT(Z2,LEN(Z2)-54)</f>
        <v>live%20games</v>
      </c>
      <c r="AC2" t="str">
        <f>SUBSTITUTE(Table5[[#This Row],[source_url_category]], "%20", " ")</f>
        <v>live games</v>
      </c>
      <c r="AD2" s="2" t="b">
        <v>0</v>
      </c>
      <c r="AE2" s="2" t="str">
        <f>LOWER(Table5[[#This Row],[staff_pick]])</f>
        <v>false</v>
      </c>
      <c r="AF2" t="s">
        <v>16</v>
      </c>
      <c r="AH2" s="20" cm="1">
        <f t="array" ref="AH2:AH153">_xlfn._xlws.SORT(P2:P153,1,1)</f>
        <v>1</v>
      </c>
      <c r="AI2" s="21" cm="1">
        <f t="array" ref="AI2:AI18">_xlfn._xlws.SORT(_xlfn._xlws.FILTER(P2:P153,P2:P153&gt;100000),1,-1)</f>
        <v>3542035.74</v>
      </c>
      <c r="AJ2" s="48"/>
      <c r="AK2" s="43" t="s">
        <v>759</v>
      </c>
      <c r="AL2" s="36">
        <f>COUNTA(C2:F153)</f>
        <v>608</v>
      </c>
      <c r="AP2" s="41" t="str" cm="1">
        <f t="array" ref="AP2:AP17">_xlfn._xlws.SORT(_xlfn.UNIQUE(Y2:Y153))</f>
        <v>Australia</v>
      </c>
      <c r="AQ2" s="41">
        <f>COUNTIF(Y2:Y153,AP2)</f>
        <v>3</v>
      </c>
      <c r="AR2" s="41">
        <f>SUMIF(Y:Y,AP2,R:R)</f>
        <v>26666</v>
      </c>
      <c r="AS2" s="41">
        <f>AVERAGEIF(Y:Y,AP2,R:R)</f>
        <v>8888.6666666666661</v>
      </c>
    </row>
    <row r="3" spans="1:45" x14ac:dyDescent="0.2">
      <c r="A3" s="18">
        <v>13547406</v>
      </c>
      <c r="B3" t="s">
        <v>162</v>
      </c>
      <c r="C3" t="str">
        <f>CONCATENATE(Table5[[#This Row],[id]], "-", PROPER(Table5[[#This Row],[name]]))</f>
        <v>13547406-Epic Stuff Library Vol 4: D&amp;D 5E/Pathfinder Adaptable.</v>
      </c>
      <c r="D3" s="1">
        <v>43478</v>
      </c>
      <c r="E3" s="1">
        <v>43491</v>
      </c>
      <c r="F3" s="1">
        <v>43526</v>
      </c>
      <c r="G3" s="18">
        <f t="shared" ref="G3:G66" si="5">F3-E3</f>
        <v>35</v>
      </c>
      <c r="H3" s="18">
        <f t="shared" ref="H3:H66" si="6">WEEKDAY(E3,2)</f>
        <v>6</v>
      </c>
      <c r="I3" s="18">
        <f t="shared" ref="I3:I66" si="7">MONTH(E3)</f>
        <v>1</v>
      </c>
      <c r="J3" s="5" t="b">
        <f t="shared" ref="J3:J66" si="8">EXACT(D3,E3)</f>
        <v>0</v>
      </c>
      <c r="K3" s="29">
        <v>1</v>
      </c>
      <c r="L3" s="29">
        <f t="shared" si="0"/>
        <v>1</v>
      </c>
      <c r="M3" s="22">
        <f t="shared" ref="M3:M66" si="9">F3-E3</f>
        <v>35</v>
      </c>
      <c r="N3" t="s">
        <v>15</v>
      </c>
      <c r="O3">
        <f>VLOOKUP(Table5[[#This Row],[currency]],Table3[],2)</f>
        <v>1</v>
      </c>
      <c r="P3" s="18">
        <v>1</v>
      </c>
      <c r="Q3" s="32">
        <f>Table5[[#This Row],[pledged]]*Table5[[#This Row],[Exchange_rate]]</f>
        <v>1</v>
      </c>
      <c r="R3" s="33">
        <f>ROUND(Table5[[#This Row],[Pledged_USD]],0)</f>
        <v>1</v>
      </c>
      <c r="S3" s="35">
        <v>28000</v>
      </c>
      <c r="T3" s="35">
        <f>VALUE(Table5[[#This Row],[goal_USD]])</f>
        <v>28000</v>
      </c>
      <c r="U3" t="s">
        <v>375</v>
      </c>
      <c r="V3" t="s">
        <v>648</v>
      </c>
      <c r="W3" t="str">
        <f t="shared" si="1"/>
        <v>Arlington, VA</v>
      </c>
      <c r="X3" t="s">
        <v>527</v>
      </c>
      <c r="Y3" t="str">
        <f t="shared" si="2"/>
        <v>United States</v>
      </c>
      <c r="Z3" t="s">
        <v>106</v>
      </c>
      <c r="AA3">
        <f t="shared" si="3"/>
        <v>54</v>
      </c>
      <c r="AB3" t="str">
        <f t="shared" si="4"/>
        <v>mobile%20games</v>
      </c>
      <c r="AC3" t="str">
        <f>SUBSTITUTE(Table5[[#This Row],[source_url_category]], "%20", " ")</f>
        <v>mobile games</v>
      </c>
      <c r="AD3" s="2" t="b">
        <v>0</v>
      </c>
      <c r="AE3" s="2" t="str">
        <f>LOWER(Table5[[#This Row],[staff_pick]])</f>
        <v>false</v>
      </c>
      <c r="AF3" t="s">
        <v>17</v>
      </c>
      <c r="AH3" s="20">
        <v>1</v>
      </c>
      <c r="AI3" s="21">
        <v>3410084.24</v>
      </c>
      <c r="AK3" s="43" t="s">
        <v>760</v>
      </c>
      <c r="AL3" s="36" cm="1">
        <f t="array" ref="AL3">COUNTBLANK(Games)</f>
        <v>49</v>
      </c>
      <c r="AP3" s="41" t="str">
        <v>Austria</v>
      </c>
      <c r="AQ3" s="41">
        <f t="shared" ref="AQ3:AQ17" si="10">COUNTIF(Y3:Y154,AP3)</f>
        <v>1</v>
      </c>
      <c r="AR3" s="41">
        <f t="shared" ref="AR3:AR17" si="11">SUMIF(Y:Y,AP3,R:R)</f>
        <v>1</v>
      </c>
      <c r="AS3" s="41">
        <f t="shared" ref="AS3:AS17" si="12">AVERAGEIF(Y:Y,AP3,R:R)</f>
        <v>1</v>
      </c>
    </row>
    <row r="4" spans="1:45" x14ac:dyDescent="0.2">
      <c r="A4" s="18">
        <v>20761861</v>
      </c>
      <c r="B4" t="s">
        <v>275</v>
      </c>
      <c r="C4" t="str">
        <f>CONCATENATE(Table5[[#This Row],[id]], "-", PROPER(Table5[[#This Row],[name]]))</f>
        <v>20761861-Our House: The Lore Driven Card Game</v>
      </c>
      <c r="D4" s="1">
        <v>43504</v>
      </c>
      <c r="E4" s="1">
        <v>43504</v>
      </c>
      <c r="F4" s="1">
        <v>43534</v>
      </c>
      <c r="G4" s="18">
        <f t="shared" si="5"/>
        <v>30</v>
      </c>
      <c r="H4" s="18">
        <f t="shared" si="6"/>
        <v>5</v>
      </c>
      <c r="I4" s="18">
        <f t="shared" si="7"/>
        <v>2</v>
      </c>
      <c r="J4" s="5" t="b">
        <f t="shared" si="8"/>
        <v>1</v>
      </c>
      <c r="K4" s="28">
        <v>170</v>
      </c>
      <c r="L4" s="28">
        <f t="shared" si="0"/>
        <v>170</v>
      </c>
      <c r="M4" s="22">
        <f t="shared" si="9"/>
        <v>30</v>
      </c>
      <c r="N4" t="s">
        <v>19</v>
      </c>
      <c r="O4">
        <f>VLOOKUP(Table5[[#This Row],[currency]],Table3[],2)</f>
        <v>1.49576325</v>
      </c>
      <c r="P4" s="18">
        <v>6324</v>
      </c>
      <c r="Q4" s="32">
        <f>Table5[[#This Row],[pledged]]*Table5[[#This Row],[Exchange_rate]]</f>
        <v>9459.2067929999994</v>
      </c>
      <c r="R4" s="33">
        <f>ROUND(Table5[[#This Row],[Pledged_USD]],0)</f>
        <v>9459</v>
      </c>
      <c r="S4" s="35">
        <v>2000</v>
      </c>
      <c r="T4" s="35">
        <f>VALUE(Table5[[#This Row],[goal_USD]])</f>
        <v>2000</v>
      </c>
      <c r="U4" t="s">
        <v>416</v>
      </c>
      <c r="V4" t="s">
        <v>650</v>
      </c>
      <c r="W4" t="str">
        <f t="shared" si="1"/>
        <v>Nottingham, England</v>
      </c>
      <c r="X4" t="s">
        <v>526</v>
      </c>
      <c r="Y4" t="str">
        <f t="shared" si="2"/>
        <v>United Kingdom</v>
      </c>
      <c r="Z4" t="s">
        <v>38</v>
      </c>
      <c r="AA4">
        <f t="shared" si="3"/>
        <v>54</v>
      </c>
      <c r="AB4" t="str">
        <f t="shared" si="4"/>
        <v>tabletop%20games</v>
      </c>
      <c r="AC4" t="str">
        <f>SUBSTITUTE(Table5[[#This Row],[source_url_category]], "%20", " ")</f>
        <v>tabletop games</v>
      </c>
      <c r="AD4" s="2" t="b">
        <v>0</v>
      </c>
      <c r="AE4" s="2" t="str">
        <f>LOWER(Table5[[#This Row],[staff_pick]])</f>
        <v>false</v>
      </c>
      <c r="AF4" t="s">
        <v>16</v>
      </c>
      <c r="AH4" s="20">
        <v>1</v>
      </c>
      <c r="AI4" s="21">
        <v>1367901.33</v>
      </c>
      <c r="AP4" s="41" t="str">
        <v>Canada</v>
      </c>
      <c r="AQ4" s="41">
        <f t="shared" si="10"/>
        <v>7</v>
      </c>
      <c r="AR4" s="41">
        <f t="shared" si="11"/>
        <v>262141</v>
      </c>
      <c r="AS4" s="41">
        <f t="shared" si="12"/>
        <v>37448.714285714283</v>
      </c>
    </row>
    <row r="5" spans="1:45" x14ac:dyDescent="0.2">
      <c r="A5" s="18">
        <v>30059044</v>
      </c>
      <c r="B5" t="s">
        <v>53</v>
      </c>
      <c r="C5" t="str">
        <f>CONCATENATE(Table5[[#This Row],[id]], "-", PROPER(Table5[[#This Row],[name]]))</f>
        <v>30059044-Zombicide: 2Nd Edition</v>
      </c>
      <c r="D5" s="1">
        <v>43676</v>
      </c>
      <c r="E5" s="1">
        <v>43721</v>
      </c>
      <c r="F5" s="1">
        <v>43746</v>
      </c>
      <c r="G5" s="18">
        <f t="shared" si="5"/>
        <v>25</v>
      </c>
      <c r="H5" s="18">
        <f t="shared" si="6"/>
        <v>5</v>
      </c>
      <c r="I5" s="18">
        <f t="shared" si="7"/>
        <v>9</v>
      </c>
      <c r="J5" s="5" t="b">
        <f t="shared" si="8"/>
        <v>0</v>
      </c>
      <c r="K5" s="29">
        <v>45</v>
      </c>
      <c r="L5" s="29">
        <f t="shared" si="0"/>
        <v>50</v>
      </c>
      <c r="M5" s="22">
        <f t="shared" si="9"/>
        <v>25</v>
      </c>
      <c r="N5" t="s">
        <v>22</v>
      </c>
      <c r="O5">
        <f>VLOOKUP(Table5[[#This Row],[currency]],Table3[],2)</f>
        <v>0.76932900999999998</v>
      </c>
      <c r="P5" s="18">
        <v>4408.29</v>
      </c>
      <c r="Q5" s="32">
        <f>Table5[[#This Row],[pledged]]*Table5[[#This Row],[Exchange_rate]]</f>
        <v>3391.4253814928998</v>
      </c>
      <c r="R5" s="33">
        <f>ROUND(Table5[[#This Row],[Pledged_USD]],0)</f>
        <v>3391</v>
      </c>
      <c r="S5" s="35">
        <v>3300</v>
      </c>
      <c r="T5" s="35">
        <f>VALUE(Table5[[#This Row],[goal_USD]])</f>
        <v>3300</v>
      </c>
      <c r="U5" t="s">
        <v>360</v>
      </c>
      <c r="V5" t="s">
        <v>664</v>
      </c>
      <c r="W5" t="str">
        <f t="shared" si="1"/>
        <v>Vancouver, BC</v>
      </c>
      <c r="X5" t="s">
        <v>532</v>
      </c>
      <c r="Y5" t="str">
        <f t="shared" si="2"/>
        <v>Canada</v>
      </c>
      <c r="Z5" t="s">
        <v>38</v>
      </c>
      <c r="AA5">
        <f t="shared" si="3"/>
        <v>54</v>
      </c>
      <c r="AB5" t="str">
        <f t="shared" si="4"/>
        <v>tabletop%20games</v>
      </c>
      <c r="AC5" t="str">
        <f>SUBSTITUTE(Table5[[#This Row],[source_url_category]], "%20", " ")</f>
        <v>tabletop games</v>
      </c>
      <c r="AD5" s="2" t="b">
        <v>0</v>
      </c>
      <c r="AE5" s="2" t="str">
        <f>LOWER(Table5[[#This Row],[staff_pick]])</f>
        <v>false</v>
      </c>
      <c r="AF5" t="s">
        <v>16</v>
      </c>
      <c r="AH5" s="20">
        <v>1</v>
      </c>
      <c r="AI5" s="21">
        <v>528786</v>
      </c>
      <c r="AK5" s="43" t="s">
        <v>761</v>
      </c>
      <c r="AL5" s="36">
        <f>MIN(Table5[goal_USD_numeric])</f>
        <v>1</v>
      </c>
      <c r="AP5" s="41" t="str">
        <v>Czech Republic</v>
      </c>
      <c r="AQ5" s="41">
        <f t="shared" si="10"/>
        <v>1</v>
      </c>
      <c r="AR5" s="41">
        <f t="shared" si="11"/>
        <v>155</v>
      </c>
      <c r="AS5" s="41">
        <f t="shared" si="12"/>
        <v>155</v>
      </c>
    </row>
    <row r="6" spans="1:45" x14ac:dyDescent="0.2">
      <c r="A6" s="18">
        <v>49752892</v>
      </c>
      <c r="B6" t="s">
        <v>281</v>
      </c>
      <c r="C6" t="str">
        <f>CONCATENATE(Table5[[#This Row],[id]], "-", PROPER(Table5[[#This Row],[name]]))</f>
        <v>49752892-Longest Number Ever Written</v>
      </c>
      <c r="D6" s="1">
        <v>43471</v>
      </c>
      <c r="E6" s="1">
        <v>43622</v>
      </c>
      <c r="F6" s="1">
        <v>43652</v>
      </c>
      <c r="G6" s="18">
        <f t="shared" si="5"/>
        <v>30</v>
      </c>
      <c r="H6" s="18">
        <f t="shared" si="6"/>
        <v>4</v>
      </c>
      <c r="I6" s="18">
        <f t="shared" si="7"/>
        <v>6</v>
      </c>
      <c r="J6" s="5" t="b">
        <f t="shared" si="8"/>
        <v>0</v>
      </c>
      <c r="K6" s="28">
        <v>250</v>
      </c>
      <c r="L6" s="28">
        <f t="shared" si="0"/>
        <v>250</v>
      </c>
      <c r="M6" s="22">
        <f t="shared" si="9"/>
        <v>30</v>
      </c>
      <c r="N6" t="s">
        <v>15</v>
      </c>
      <c r="O6">
        <f>VLOOKUP(Table5[[#This Row],[currency]],Table3[],2)</f>
        <v>1</v>
      </c>
      <c r="P6" s="18">
        <v>6341</v>
      </c>
      <c r="Q6" s="32">
        <f>Table5[[#This Row],[pledged]]*Table5[[#This Row],[Exchange_rate]]</f>
        <v>6341</v>
      </c>
      <c r="R6" s="33">
        <f>ROUND(Table5[[#This Row],[Pledged_USD]],0)</f>
        <v>6341</v>
      </c>
      <c r="S6" s="35">
        <v>2500</v>
      </c>
      <c r="T6" s="35">
        <f>VALUE(Table5[[#This Row],[goal_USD]])</f>
        <v>2500</v>
      </c>
      <c r="U6" t="s">
        <v>459</v>
      </c>
      <c r="V6" t="s">
        <v>23</v>
      </c>
      <c r="W6" t="str">
        <f t="shared" si="1"/>
        <v>Los Gatos, CA</v>
      </c>
      <c r="X6" t="s">
        <v>527</v>
      </c>
      <c r="Y6" t="str">
        <f t="shared" si="2"/>
        <v>United States</v>
      </c>
      <c r="Z6" t="s">
        <v>107</v>
      </c>
      <c r="AA6">
        <f t="shared" si="3"/>
        <v>54</v>
      </c>
      <c r="AB6" t="str">
        <f t="shared" si="4"/>
        <v>playing%20cards</v>
      </c>
      <c r="AC6" t="str">
        <f>SUBSTITUTE(Table5[[#This Row],[source_url_category]], "%20", " ")</f>
        <v>playing cards</v>
      </c>
      <c r="AD6" s="2" t="b">
        <v>0</v>
      </c>
      <c r="AE6" s="2" t="str">
        <f>LOWER(Table5[[#This Row],[staff_pick]])</f>
        <v>false</v>
      </c>
      <c r="AF6" t="s">
        <v>16</v>
      </c>
      <c r="AH6" s="20">
        <v>1.29</v>
      </c>
      <c r="AI6" s="21">
        <v>431368.21</v>
      </c>
      <c r="AP6" s="41" t="str">
        <v>Estonia</v>
      </c>
      <c r="AQ6" s="41">
        <f t="shared" si="10"/>
        <v>1</v>
      </c>
      <c r="AR6" s="41">
        <f t="shared" si="11"/>
        <v>1868</v>
      </c>
      <c r="AS6" s="41">
        <f t="shared" si="12"/>
        <v>1868</v>
      </c>
    </row>
    <row r="7" spans="1:45" x14ac:dyDescent="0.2">
      <c r="A7" s="18">
        <v>52444976</v>
      </c>
      <c r="B7" t="s">
        <v>51</v>
      </c>
      <c r="C7" t="str">
        <f>CONCATENATE(Table5[[#This Row],[id]], "-", PROPER(Table5[[#This Row],[name]]))</f>
        <v>52444976-Dead+Gone: A Competitive Horror Game</v>
      </c>
      <c r="D7" s="1">
        <v>43466</v>
      </c>
      <c r="E7" s="1">
        <v>43511</v>
      </c>
      <c r="F7" s="1">
        <v>43527</v>
      </c>
      <c r="G7" s="18">
        <f t="shared" si="5"/>
        <v>16</v>
      </c>
      <c r="H7" s="18">
        <f t="shared" si="6"/>
        <v>5</v>
      </c>
      <c r="I7" s="18">
        <f t="shared" si="7"/>
        <v>2</v>
      </c>
      <c r="J7" s="5" t="b">
        <f t="shared" si="8"/>
        <v>0</v>
      </c>
      <c r="K7" s="29">
        <v>667</v>
      </c>
      <c r="L7" s="29">
        <f t="shared" si="0"/>
        <v>667</v>
      </c>
      <c r="M7" s="22">
        <f t="shared" si="9"/>
        <v>16</v>
      </c>
      <c r="N7" t="s">
        <v>18</v>
      </c>
      <c r="O7">
        <f>VLOOKUP(Table5[[#This Row],[currency]],Table3[],2)</f>
        <v>1.16955371</v>
      </c>
      <c r="P7" s="18">
        <v>50384</v>
      </c>
      <c r="Q7" s="32">
        <f>Table5[[#This Row],[pledged]]*Table5[[#This Row],[Exchange_rate]]</f>
        <v>58926.794124640001</v>
      </c>
      <c r="R7" s="33">
        <f>ROUND(Table5[[#This Row],[Pledged_USD]],0)</f>
        <v>58927</v>
      </c>
      <c r="S7" s="35">
        <v>17000</v>
      </c>
      <c r="T7" s="35">
        <f>VALUE(Table5[[#This Row],[goal_USD]])</f>
        <v>17000</v>
      </c>
      <c r="U7" t="s">
        <v>461</v>
      </c>
      <c r="V7" t="s">
        <v>646</v>
      </c>
      <c r="W7" t="str">
        <f t="shared" si="1"/>
        <v>Lentate sul Seveso, Lombardy</v>
      </c>
      <c r="X7" t="s">
        <v>533</v>
      </c>
      <c r="Y7" t="str">
        <f t="shared" si="2"/>
        <v>Italy</v>
      </c>
      <c r="Z7" t="s">
        <v>107</v>
      </c>
      <c r="AA7">
        <f t="shared" si="3"/>
        <v>54</v>
      </c>
      <c r="AB7" t="str">
        <f t="shared" si="4"/>
        <v>playing%20cards</v>
      </c>
      <c r="AC7" t="str">
        <f>SUBSTITUTE(Table5[[#This Row],[source_url_category]], "%20", " ")</f>
        <v>playing cards</v>
      </c>
      <c r="AD7" s="2" t="b">
        <v>0</v>
      </c>
      <c r="AE7" s="2" t="str">
        <f>LOWER(Table5[[#This Row],[staff_pick]])</f>
        <v>false</v>
      </c>
      <c r="AF7" t="s">
        <v>16</v>
      </c>
      <c r="AH7" s="20">
        <v>2</v>
      </c>
      <c r="AI7" s="21">
        <v>389552</v>
      </c>
      <c r="AK7" s="44" t="s">
        <v>766</v>
      </c>
      <c r="AL7" s="29"/>
      <c r="AP7" s="41" t="str">
        <v>France</v>
      </c>
      <c r="AQ7" s="41">
        <f t="shared" si="10"/>
        <v>6</v>
      </c>
      <c r="AR7" s="41">
        <f t="shared" si="11"/>
        <v>112002</v>
      </c>
      <c r="AS7" s="41">
        <f t="shared" si="12"/>
        <v>18667</v>
      </c>
    </row>
    <row r="8" spans="1:45" x14ac:dyDescent="0.2">
      <c r="A8" s="18">
        <v>61166675</v>
      </c>
      <c r="B8" t="s">
        <v>701</v>
      </c>
      <c r="C8" t="str">
        <f>CONCATENATE(Table5[[#This Row],[id]], "-", PROPER(Table5[[#This Row],[name]]))</f>
        <v>61166675-The Oracle Of Heaven And Hell</v>
      </c>
      <c r="D8" s="1">
        <v>43467</v>
      </c>
      <c r="E8" s="1">
        <v>43503</v>
      </c>
      <c r="F8" s="1">
        <v>43523</v>
      </c>
      <c r="G8" s="18">
        <f t="shared" si="5"/>
        <v>20</v>
      </c>
      <c r="H8" s="18">
        <f t="shared" si="6"/>
        <v>4</v>
      </c>
      <c r="I8" s="18">
        <f t="shared" si="7"/>
        <v>2</v>
      </c>
      <c r="J8" s="5" t="b">
        <f t="shared" si="8"/>
        <v>0</v>
      </c>
      <c r="K8" s="28">
        <v>243</v>
      </c>
      <c r="L8" s="28">
        <f t="shared" si="0"/>
        <v>243</v>
      </c>
      <c r="M8" s="22">
        <f t="shared" si="9"/>
        <v>20</v>
      </c>
      <c r="N8" t="s">
        <v>15</v>
      </c>
      <c r="O8">
        <f>VLOOKUP(Table5[[#This Row],[currency]],Table3[],2)</f>
        <v>1</v>
      </c>
      <c r="P8" s="18">
        <v>7402</v>
      </c>
      <c r="Q8" s="32">
        <f>Table5[[#This Row],[pledged]]*Table5[[#This Row],[Exchange_rate]]</f>
        <v>7402</v>
      </c>
      <c r="R8" s="33">
        <f>ROUND(Table5[[#This Row],[Pledged_USD]],0)</f>
        <v>7402</v>
      </c>
      <c r="S8" s="35">
        <v>5000</v>
      </c>
      <c r="T8" s="35">
        <f>VALUE(Table5[[#This Row],[goal_USD]])</f>
        <v>5000</v>
      </c>
      <c r="U8" t="s">
        <v>380</v>
      </c>
      <c r="V8" t="s">
        <v>647</v>
      </c>
      <c r="W8" t="str">
        <f t="shared" si="1"/>
        <v>Phoenix, AZ</v>
      </c>
      <c r="X8" t="s">
        <v>527</v>
      </c>
      <c r="Y8" t="str">
        <f t="shared" si="2"/>
        <v>United States</v>
      </c>
      <c r="Z8" t="s">
        <v>38</v>
      </c>
      <c r="AA8">
        <f t="shared" si="3"/>
        <v>54</v>
      </c>
      <c r="AB8" t="str">
        <f t="shared" si="4"/>
        <v>tabletop%20games</v>
      </c>
      <c r="AC8" t="str">
        <f>SUBSTITUTE(Table5[[#This Row],[source_url_category]], "%20", " ")</f>
        <v>tabletop games</v>
      </c>
      <c r="AD8" s="2" t="b">
        <v>0</v>
      </c>
      <c r="AE8" s="2" t="str">
        <f>LOWER(Table5[[#This Row],[staff_pick]])</f>
        <v>false</v>
      </c>
      <c r="AF8" t="s">
        <v>16</v>
      </c>
      <c r="AH8" s="20">
        <v>2</v>
      </c>
      <c r="AI8" s="21">
        <v>358133</v>
      </c>
      <c r="AK8" s="45" t="s">
        <v>767</v>
      </c>
      <c r="AL8" s="36">
        <f>SUM(Backers)</f>
        <v>134773</v>
      </c>
      <c r="AP8" s="41" t="str">
        <v>Germany</v>
      </c>
      <c r="AQ8" s="41">
        <f t="shared" si="10"/>
        <v>5</v>
      </c>
      <c r="AR8" s="41">
        <f t="shared" si="11"/>
        <v>177032</v>
      </c>
      <c r="AS8" s="41">
        <f t="shared" si="12"/>
        <v>35406.400000000001</v>
      </c>
    </row>
    <row r="9" spans="1:45" x14ac:dyDescent="0.2">
      <c r="A9" s="18">
        <v>63381877</v>
      </c>
      <c r="B9" t="s">
        <v>92</v>
      </c>
      <c r="C9" t="str">
        <f>CONCATENATE(Table5[[#This Row],[id]], "-", PROPER(Table5[[#This Row],[name]]))</f>
        <v>63381877-Dwarf Board Game</v>
      </c>
      <c r="D9" s="1">
        <v>43469</v>
      </c>
      <c r="E9" s="1">
        <v>43497</v>
      </c>
      <c r="F9" s="1">
        <v>43525</v>
      </c>
      <c r="G9" s="18">
        <f t="shared" si="5"/>
        <v>28</v>
      </c>
      <c r="H9" s="18">
        <f t="shared" si="6"/>
        <v>5</v>
      </c>
      <c r="I9" s="18">
        <f t="shared" si="7"/>
        <v>2</v>
      </c>
      <c r="J9" s="5" t="b">
        <f t="shared" si="8"/>
        <v>0</v>
      </c>
      <c r="K9" s="29">
        <v>144</v>
      </c>
      <c r="L9" s="29">
        <f t="shared" si="0"/>
        <v>144</v>
      </c>
      <c r="M9" s="22">
        <f t="shared" si="9"/>
        <v>28</v>
      </c>
      <c r="N9" t="s">
        <v>15</v>
      </c>
      <c r="O9">
        <f>VLOOKUP(Table5[[#This Row],[currency]],Table3[],2)</f>
        <v>1</v>
      </c>
      <c r="P9" s="18">
        <v>1816</v>
      </c>
      <c r="Q9" s="32">
        <f>Table5[[#This Row],[pledged]]*Table5[[#This Row],[Exchange_rate]]</f>
        <v>1816</v>
      </c>
      <c r="R9" s="33">
        <f>ROUND(Table5[[#This Row],[Pledged_USD]],0)</f>
        <v>1816</v>
      </c>
      <c r="S9" s="35">
        <v>1800</v>
      </c>
      <c r="T9" s="35">
        <f>VALUE(Table5[[#This Row],[goal_USD]])</f>
        <v>1800</v>
      </c>
      <c r="U9" t="s">
        <v>338</v>
      </c>
      <c r="V9" t="s">
        <v>23</v>
      </c>
      <c r="W9" t="str">
        <f t="shared" si="1"/>
        <v>Los Angeles, CA</v>
      </c>
      <c r="X9" t="s">
        <v>527</v>
      </c>
      <c r="Y9" t="str">
        <f t="shared" si="2"/>
        <v>United States</v>
      </c>
      <c r="Z9" t="s">
        <v>38</v>
      </c>
      <c r="AA9">
        <f t="shared" si="3"/>
        <v>54</v>
      </c>
      <c r="AB9" t="str">
        <f t="shared" si="4"/>
        <v>tabletop%20games</v>
      </c>
      <c r="AC9" t="str">
        <f>SUBSTITUTE(Table5[[#This Row],[source_url_category]], "%20", " ")</f>
        <v>tabletop games</v>
      </c>
      <c r="AD9" s="2" t="b">
        <v>1</v>
      </c>
      <c r="AE9" s="2" t="str">
        <f>LOWER(Table5[[#This Row],[staff_pick]])</f>
        <v>true</v>
      </c>
      <c r="AF9" t="s">
        <v>16</v>
      </c>
      <c r="AH9" s="20">
        <v>4</v>
      </c>
      <c r="AI9" s="21">
        <v>265211.90999999997</v>
      </c>
      <c r="AK9" s="43" t="s">
        <v>768</v>
      </c>
      <c r="AL9" s="36">
        <f>MIN(Backers)</f>
        <v>1</v>
      </c>
      <c r="AP9" s="41" t="str">
        <v>Hong Kong</v>
      </c>
      <c r="AQ9" s="41">
        <f t="shared" si="10"/>
        <v>5</v>
      </c>
      <c r="AR9" s="41">
        <f t="shared" si="11"/>
        <v>25336</v>
      </c>
      <c r="AS9" s="41">
        <f t="shared" si="12"/>
        <v>5067.2</v>
      </c>
    </row>
    <row r="10" spans="1:45" x14ac:dyDescent="0.2">
      <c r="A10" s="18">
        <v>92129914</v>
      </c>
      <c r="B10" t="s">
        <v>229</v>
      </c>
      <c r="C10" t="str">
        <f>CONCATENATE(Table5[[#This Row],[id]], "-", PROPER(Table5[[#This Row],[name]]))</f>
        <v>92129914-Traveller Fifth Edition</v>
      </c>
      <c r="D10" s="1">
        <v>43472</v>
      </c>
      <c r="E10" s="1">
        <v>43550</v>
      </c>
      <c r="F10" s="1">
        <v>43587</v>
      </c>
      <c r="G10" s="18">
        <f t="shared" si="5"/>
        <v>37</v>
      </c>
      <c r="H10" s="18">
        <f t="shared" si="6"/>
        <v>2</v>
      </c>
      <c r="I10" s="18">
        <f t="shared" si="7"/>
        <v>3</v>
      </c>
      <c r="J10" s="5" t="b">
        <f t="shared" si="8"/>
        <v>0</v>
      </c>
      <c r="K10" s="28">
        <v>4009</v>
      </c>
      <c r="L10" s="28">
        <f t="shared" si="0"/>
        <v>4009</v>
      </c>
      <c r="M10" s="22">
        <f t="shared" si="9"/>
        <v>37</v>
      </c>
      <c r="N10" t="s">
        <v>15</v>
      </c>
      <c r="O10">
        <f>VLOOKUP(Table5[[#This Row],[currency]],Table3[],2)</f>
        <v>1</v>
      </c>
      <c r="P10" s="18">
        <v>109565.5</v>
      </c>
      <c r="Q10" s="32">
        <f>Table5[[#This Row],[pledged]]*Table5[[#This Row],[Exchange_rate]]</f>
        <v>109565.5</v>
      </c>
      <c r="R10" s="33">
        <f>ROUND(Table5[[#This Row],[Pledged_USD]],0)</f>
        <v>109566</v>
      </c>
      <c r="S10" s="35">
        <v>15013</v>
      </c>
      <c r="T10" s="35">
        <f>VALUE(Table5[[#This Row],[goal_USD]])</f>
        <v>15013</v>
      </c>
      <c r="U10" t="s">
        <v>375</v>
      </c>
      <c r="V10" t="s">
        <v>648</v>
      </c>
      <c r="W10" t="str">
        <f t="shared" si="1"/>
        <v>Arlington, VA</v>
      </c>
      <c r="X10" t="s">
        <v>527</v>
      </c>
      <c r="Y10" t="str">
        <f t="shared" si="2"/>
        <v>United States</v>
      </c>
      <c r="Z10" t="s">
        <v>38</v>
      </c>
      <c r="AA10">
        <f t="shared" si="3"/>
        <v>54</v>
      </c>
      <c r="AB10" t="str">
        <f t="shared" si="4"/>
        <v>tabletop%20games</v>
      </c>
      <c r="AC10" t="str">
        <f>SUBSTITUTE(Table5[[#This Row],[source_url_category]], "%20", " ")</f>
        <v>tabletop games</v>
      </c>
      <c r="AD10" s="2" t="b">
        <v>0</v>
      </c>
      <c r="AE10" s="2" t="str">
        <f>LOWER(Table5[[#This Row],[staff_pick]])</f>
        <v>false</v>
      </c>
      <c r="AF10" t="s">
        <v>16</v>
      </c>
      <c r="AH10" s="20">
        <v>14</v>
      </c>
      <c r="AI10" s="21">
        <v>166304</v>
      </c>
      <c r="AK10" s="43" t="s">
        <v>769</v>
      </c>
      <c r="AL10" s="36">
        <f>MAX(Backers)</f>
        <v>26004</v>
      </c>
      <c r="AP10" s="41" t="str">
        <v>Italy</v>
      </c>
      <c r="AQ10" s="41">
        <f t="shared" si="10"/>
        <v>5</v>
      </c>
      <c r="AR10" s="41">
        <f t="shared" si="11"/>
        <v>129377</v>
      </c>
      <c r="AS10" s="41">
        <f t="shared" si="12"/>
        <v>21562.833333333332</v>
      </c>
    </row>
    <row r="11" spans="1:45" x14ac:dyDescent="0.2">
      <c r="A11" s="18">
        <v>96526024</v>
      </c>
      <c r="B11" t="s">
        <v>215</v>
      </c>
      <c r="C11" t="str">
        <f>CONCATENATE(Table5[[#This Row],[id]], "-", PROPER(Table5[[#This Row],[name]]))</f>
        <v>96526024-My Pad</v>
      </c>
      <c r="D11" s="1">
        <v>43474</v>
      </c>
      <c r="E11" s="1">
        <v>43522</v>
      </c>
      <c r="F11" s="1">
        <v>43549</v>
      </c>
      <c r="G11" s="18">
        <f t="shared" si="5"/>
        <v>27</v>
      </c>
      <c r="H11" s="18">
        <f t="shared" si="6"/>
        <v>2</v>
      </c>
      <c r="I11" s="18">
        <f t="shared" si="7"/>
        <v>2</v>
      </c>
      <c r="J11" s="5" t="b">
        <f t="shared" si="8"/>
        <v>0</v>
      </c>
      <c r="K11" s="29">
        <v>143</v>
      </c>
      <c r="L11" s="29">
        <f t="shared" si="0"/>
        <v>143</v>
      </c>
      <c r="M11" s="22">
        <f t="shared" si="9"/>
        <v>27</v>
      </c>
      <c r="N11" t="s">
        <v>15</v>
      </c>
      <c r="O11">
        <f>VLOOKUP(Table5[[#This Row],[currency]],Table3[],2)</f>
        <v>1</v>
      </c>
      <c r="P11" s="18">
        <v>4868.25</v>
      </c>
      <c r="Q11" s="32">
        <f>Table5[[#This Row],[pledged]]*Table5[[#This Row],[Exchange_rate]]</f>
        <v>4868.25</v>
      </c>
      <c r="R11" s="33">
        <f>ROUND(Table5[[#This Row],[Pledged_USD]],0)</f>
        <v>4868</v>
      </c>
      <c r="S11" s="35">
        <v>2200</v>
      </c>
      <c r="T11" s="35">
        <f>VALUE(Table5[[#This Row],[goal_USD]])</f>
        <v>2200</v>
      </c>
      <c r="U11" t="s">
        <v>400</v>
      </c>
      <c r="V11" t="s">
        <v>648</v>
      </c>
      <c r="W11" t="str">
        <f t="shared" si="1"/>
        <v>Virginia Beach, VA</v>
      </c>
      <c r="X11" t="s">
        <v>527</v>
      </c>
      <c r="Y11" t="str">
        <f t="shared" si="2"/>
        <v>United States</v>
      </c>
      <c r="Z11" t="s">
        <v>38</v>
      </c>
      <c r="AA11">
        <f t="shared" si="3"/>
        <v>54</v>
      </c>
      <c r="AB11" t="str">
        <f t="shared" si="4"/>
        <v>tabletop%20games</v>
      </c>
      <c r="AC11" t="str">
        <f>SUBSTITUTE(Table5[[#This Row],[source_url_category]], "%20", " ")</f>
        <v>tabletop games</v>
      </c>
      <c r="AD11" s="2" t="b">
        <v>0</v>
      </c>
      <c r="AE11" s="2" t="str">
        <f>LOWER(Table5[[#This Row],[staff_pick]])</f>
        <v>false</v>
      </c>
      <c r="AF11" t="s">
        <v>16</v>
      </c>
      <c r="AH11" s="20">
        <v>21</v>
      </c>
      <c r="AI11" s="21">
        <v>157049</v>
      </c>
      <c r="AK11" s="43" t="s">
        <v>770</v>
      </c>
      <c r="AL11" s="36">
        <f>AVERAGE(Backers)</f>
        <v>886.66447368421052</v>
      </c>
      <c r="AP11" s="41" t="str">
        <v>Norway</v>
      </c>
      <c r="AQ11" s="41">
        <f t="shared" si="10"/>
        <v>1</v>
      </c>
      <c r="AR11" s="41">
        <f t="shared" si="11"/>
        <v>423044</v>
      </c>
      <c r="AS11" s="41">
        <f t="shared" si="12"/>
        <v>423044</v>
      </c>
    </row>
    <row r="12" spans="1:45" x14ac:dyDescent="0.2">
      <c r="A12" s="18">
        <v>148612159</v>
      </c>
      <c r="B12" t="s">
        <v>233</v>
      </c>
      <c r="C12" t="str">
        <f>CONCATENATE(Table5[[#This Row],[id]], "-", PROPER(Table5[[#This Row],[name]]))</f>
        <v>148612159-In Thoth'S Wake - Zine Quest Edition!</v>
      </c>
      <c r="D12" s="1">
        <v>43475</v>
      </c>
      <c r="E12" s="1">
        <v>43508</v>
      </c>
      <c r="F12" s="1">
        <v>43539</v>
      </c>
      <c r="G12" s="18">
        <f t="shared" si="5"/>
        <v>31</v>
      </c>
      <c r="H12" s="18">
        <f t="shared" si="6"/>
        <v>2</v>
      </c>
      <c r="I12" s="18">
        <f t="shared" si="7"/>
        <v>2</v>
      </c>
      <c r="J12" s="5" t="b">
        <f t="shared" si="8"/>
        <v>0</v>
      </c>
      <c r="K12" s="28">
        <v>5431</v>
      </c>
      <c r="L12" s="28">
        <f t="shared" si="0"/>
        <v>5431</v>
      </c>
      <c r="M12" s="22">
        <f t="shared" si="9"/>
        <v>31</v>
      </c>
      <c r="N12" t="s">
        <v>15</v>
      </c>
      <c r="O12">
        <f>VLOOKUP(Table5[[#This Row],[currency]],Table3[],2)</f>
        <v>1</v>
      </c>
      <c r="P12" s="18">
        <v>528786</v>
      </c>
      <c r="Q12" s="32">
        <f>Table5[[#This Row],[pledged]]*Table5[[#This Row],[Exchange_rate]]</f>
        <v>528786</v>
      </c>
      <c r="R12" s="33">
        <f>ROUND(Table5[[#This Row],[Pledged_USD]],0)</f>
        <v>528786</v>
      </c>
      <c r="S12" s="35">
        <v>40000</v>
      </c>
      <c r="T12" s="35">
        <f>VALUE(Table5[[#This Row],[goal_USD]])</f>
        <v>40000</v>
      </c>
      <c r="U12" t="s">
        <v>339</v>
      </c>
      <c r="V12" t="s">
        <v>23</v>
      </c>
      <c r="W12" t="str">
        <f t="shared" si="1"/>
        <v>Oakland, CA</v>
      </c>
      <c r="X12" t="s">
        <v>527</v>
      </c>
      <c r="Y12" t="str">
        <f t="shared" si="2"/>
        <v>United States</v>
      </c>
      <c r="Z12" t="s">
        <v>38</v>
      </c>
      <c r="AA12">
        <f t="shared" si="3"/>
        <v>54</v>
      </c>
      <c r="AB12" t="str">
        <f t="shared" si="4"/>
        <v>tabletop%20games</v>
      </c>
      <c r="AC12" t="str">
        <f>SUBSTITUTE(Table5[[#This Row],[source_url_category]], "%20", " ")</f>
        <v>tabletop games</v>
      </c>
      <c r="AD12" s="2" t="b">
        <v>0</v>
      </c>
      <c r="AE12" s="2" t="str">
        <f>LOWER(Table5[[#This Row],[staff_pick]])</f>
        <v>false</v>
      </c>
      <c r="AF12" t="s">
        <v>16</v>
      </c>
      <c r="AH12" s="20">
        <v>40</v>
      </c>
      <c r="AI12" s="21">
        <v>139131</v>
      </c>
      <c r="AK12" s="43" t="s">
        <v>771</v>
      </c>
      <c r="AL12" s="36">
        <f>MEDIAN(Backers)</f>
        <v>155</v>
      </c>
      <c r="AP12" s="41" t="str">
        <v>Poland</v>
      </c>
      <c r="AQ12" s="41">
        <f t="shared" si="10"/>
        <v>2</v>
      </c>
      <c r="AR12" s="41">
        <f t="shared" si="11"/>
        <v>220836</v>
      </c>
      <c r="AS12" s="41">
        <f t="shared" si="12"/>
        <v>110418</v>
      </c>
    </row>
    <row r="13" spans="1:45" x14ac:dyDescent="0.2">
      <c r="A13" s="18">
        <v>154179006</v>
      </c>
      <c r="B13" t="s">
        <v>706</v>
      </c>
      <c r="C13" t="str">
        <f>CONCATENATE(Table5[[#This Row],[id]], "-", PROPER(Table5[[#This Row],[name]]))</f>
        <v>154179006-Over The Hills 2Nd Edition - The Napoleonic Wargames Rules</v>
      </c>
      <c r="D13" s="1">
        <v>43478</v>
      </c>
      <c r="E13" s="1">
        <v>43546</v>
      </c>
      <c r="F13" s="1">
        <v>43576</v>
      </c>
      <c r="G13" s="18">
        <f t="shared" si="5"/>
        <v>30</v>
      </c>
      <c r="H13" s="18">
        <f t="shared" si="6"/>
        <v>5</v>
      </c>
      <c r="I13" s="18">
        <f t="shared" si="7"/>
        <v>3</v>
      </c>
      <c r="J13" s="5" t="b">
        <f t="shared" si="8"/>
        <v>0</v>
      </c>
      <c r="K13" s="29">
        <v>286</v>
      </c>
      <c r="L13" s="29">
        <f t="shared" si="0"/>
        <v>286</v>
      </c>
      <c r="M13" s="22">
        <f t="shared" si="9"/>
        <v>30</v>
      </c>
      <c r="N13" t="s">
        <v>15</v>
      </c>
      <c r="O13">
        <f>VLOOKUP(Table5[[#This Row],[currency]],Table3[],2)</f>
        <v>1</v>
      </c>
      <c r="P13" s="18">
        <v>5113</v>
      </c>
      <c r="Q13" s="32">
        <f>Table5[[#This Row],[pledged]]*Table5[[#This Row],[Exchange_rate]]</f>
        <v>5113</v>
      </c>
      <c r="R13" s="33">
        <f>ROUND(Table5[[#This Row],[Pledged_USD]],0)</f>
        <v>5113</v>
      </c>
      <c r="S13" s="35">
        <v>1250</v>
      </c>
      <c r="T13" s="35">
        <f>VALUE(Table5[[#This Row],[goal_USD]])</f>
        <v>1250</v>
      </c>
      <c r="U13" t="s">
        <v>441</v>
      </c>
      <c r="V13" t="s">
        <v>649</v>
      </c>
      <c r="W13" t="str">
        <f t="shared" si="1"/>
        <v>Rochester, NY</v>
      </c>
      <c r="X13" t="s">
        <v>527</v>
      </c>
      <c r="Y13" t="str">
        <f t="shared" si="2"/>
        <v>United States</v>
      </c>
      <c r="Z13" t="s">
        <v>38</v>
      </c>
      <c r="AA13">
        <f t="shared" si="3"/>
        <v>54</v>
      </c>
      <c r="AB13" t="str">
        <f t="shared" si="4"/>
        <v>tabletop%20games</v>
      </c>
      <c r="AC13" t="str">
        <f>SUBSTITUTE(Table5[[#This Row],[source_url_category]], "%20", " ")</f>
        <v>tabletop games</v>
      </c>
      <c r="AD13" s="2" t="b">
        <v>0</v>
      </c>
      <c r="AE13" s="2" t="str">
        <f>LOWER(Table5[[#This Row],[staff_pick]])</f>
        <v>false</v>
      </c>
      <c r="AF13" t="s">
        <v>16</v>
      </c>
      <c r="AH13" s="20">
        <v>46</v>
      </c>
      <c r="AI13" s="21">
        <v>136726</v>
      </c>
      <c r="AP13" s="41" t="str">
        <v>Singapore</v>
      </c>
      <c r="AQ13" s="41">
        <f t="shared" si="10"/>
        <v>3</v>
      </c>
      <c r="AR13" s="41">
        <f t="shared" si="11"/>
        <v>15555</v>
      </c>
      <c r="AS13" s="41">
        <f t="shared" si="12"/>
        <v>5185</v>
      </c>
    </row>
    <row r="14" spans="1:45" x14ac:dyDescent="0.2">
      <c r="A14" s="18">
        <v>165906545</v>
      </c>
      <c r="B14" t="s">
        <v>248</v>
      </c>
      <c r="C14" t="str">
        <f>CONCATENATE(Table5[[#This Row],[id]], "-", PROPER(Table5[[#This Row],[name]]))</f>
        <v>165906545-Capone: The Business Of Prohibition</v>
      </c>
      <c r="D14" s="1">
        <v>43487</v>
      </c>
      <c r="E14" s="1">
        <v>43531</v>
      </c>
      <c r="F14" s="1">
        <v>43561</v>
      </c>
      <c r="G14" s="18">
        <f t="shared" si="5"/>
        <v>30</v>
      </c>
      <c r="H14" s="18">
        <f t="shared" si="6"/>
        <v>4</v>
      </c>
      <c r="I14" s="18">
        <f t="shared" si="7"/>
        <v>3</v>
      </c>
      <c r="J14" s="5" t="b">
        <f t="shared" si="8"/>
        <v>0</v>
      </c>
      <c r="K14" s="28">
        <v>10</v>
      </c>
      <c r="L14" s="28">
        <f t="shared" si="0"/>
        <v>10</v>
      </c>
      <c r="M14" s="22">
        <f t="shared" si="9"/>
        <v>30</v>
      </c>
      <c r="N14" t="s">
        <v>19</v>
      </c>
      <c r="O14">
        <f>VLOOKUP(Table5[[#This Row],[currency]],Table3[],2)</f>
        <v>1.49576325</v>
      </c>
      <c r="P14" s="18">
        <v>266</v>
      </c>
      <c r="Q14" s="32">
        <f>Table5[[#This Row],[pledged]]*Table5[[#This Row],[Exchange_rate]]</f>
        <v>397.87302449999999</v>
      </c>
      <c r="R14" s="33">
        <f>ROUND(Table5[[#This Row],[Pledged_USD]],0)</f>
        <v>398</v>
      </c>
      <c r="S14" s="35">
        <v>250</v>
      </c>
      <c r="T14" s="35">
        <f>VALUE(Table5[[#This Row],[goal_USD]])</f>
        <v>250</v>
      </c>
      <c r="U14" t="s">
        <v>502</v>
      </c>
      <c r="V14" t="s">
        <v>650</v>
      </c>
      <c r="W14" t="str">
        <f t="shared" si="1"/>
        <v>Guildford, England</v>
      </c>
      <c r="X14" t="s">
        <v>526</v>
      </c>
      <c r="Y14" t="str">
        <f t="shared" si="2"/>
        <v>United Kingdom</v>
      </c>
      <c r="Z14" t="s">
        <v>38</v>
      </c>
      <c r="AA14">
        <f t="shared" si="3"/>
        <v>54</v>
      </c>
      <c r="AB14" t="str">
        <f t="shared" si="4"/>
        <v>tabletop%20games</v>
      </c>
      <c r="AC14" t="str">
        <f>SUBSTITUTE(Table5[[#This Row],[source_url_category]], "%20", " ")</f>
        <v>tabletop games</v>
      </c>
      <c r="AD14" s="2" t="b">
        <v>0</v>
      </c>
      <c r="AE14" s="2" t="str">
        <f>LOWER(Table5[[#This Row],[staff_pick]])</f>
        <v>false</v>
      </c>
      <c r="AF14" t="s">
        <v>16</v>
      </c>
      <c r="AH14" s="20">
        <v>81</v>
      </c>
      <c r="AI14" s="21">
        <v>136578</v>
      </c>
      <c r="AK14" s="46" t="s">
        <v>776</v>
      </c>
      <c r="AL14" s="38" t="s">
        <v>777</v>
      </c>
      <c r="AP14" s="41" t="str">
        <v>Spain</v>
      </c>
      <c r="AQ14" s="41">
        <f t="shared" si="10"/>
        <v>4</v>
      </c>
      <c r="AR14" s="41">
        <f t="shared" si="11"/>
        <v>625444</v>
      </c>
      <c r="AS14" s="41">
        <f t="shared" si="12"/>
        <v>156361</v>
      </c>
    </row>
    <row r="15" spans="1:45" x14ac:dyDescent="0.2">
      <c r="A15" s="18">
        <v>182072441</v>
      </c>
      <c r="B15" t="s">
        <v>133</v>
      </c>
      <c r="C15" t="str">
        <f>CONCATENATE(Table5[[#This Row],[id]], "-", PROPER(Table5[[#This Row],[name]]))</f>
        <v>182072441-The Empath Tarot: For Inner Healing</v>
      </c>
      <c r="D15" s="1">
        <v>43491</v>
      </c>
      <c r="E15" s="1">
        <v>43497</v>
      </c>
      <c r="F15" s="1">
        <v>43512</v>
      </c>
      <c r="G15" s="18">
        <f t="shared" si="5"/>
        <v>15</v>
      </c>
      <c r="H15" s="18">
        <f t="shared" si="6"/>
        <v>5</v>
      </c>
      <c r="I15" s="18">
        <f t="shared" si="7"/>
        <v>2</v>
      </c>
      <c r="J15" s="5" t="b">
        <f t="shared" si="8"/>
        <v>0</v>
      </c>
      <c r="K15" s="29">
        <v>1</v>
      </c>
      <c r="L15" s="29">
        <f t="shared" si="0"/>
        <v>1</v>
      </c>
      <c r="M15" s="22">
        <f t="shared" si="9"/>
        <v>15</v>
      </c>
      <c r="N15" t="s">
        <v>15</v>
      </c>
      <c r="O15">
        <f>VLOOKUP(Table5[[#This Row],[currency]],Table3[],2)</f>
        <v>1</v>
      </c>
      <c r="P15" s="18">
        <v>1</v>
      </c>
      <c r="Q15" s="32">
        <f>Table5[[#This Row],[pledged]]*Table5[[#This Row],[Exchange_rate]]</f>
        <v>1</v>
      </c>
      <c r="R15" s="33">
        <f>ROUND(Table5[[#This Row],[Pledged_USD]],0)</f>
        <v>1</v>
      </c>
      <c r="S15" s="35">
        <v>3500</v>
      </c>
      <c r="T15" s="35">
        <f>VALUE(Table5[[#This Row],[goal_USD]])</f>
        <v>3500</v>
      </c>
      <c r="U15" t="s">
        <v>372</v>
      </c>
      <c r="V15" t="s">
        <v>651</v>
      </c>
      <c r="W15" t="str">
        <f t="shared" si="1"/>
        <v>Seattle, WA</v>
      </c>
      <c r="X15" t="s">
        <v>527</v>
      </c>
      <c r="Y15" t="str">
        <f t="shared" si="2"/>
        <v>United States</v>
      </c>
      <c r="Z15" t="s">
        <v>41</v>
      </c>
      <c r="AA15">
        <f t="shared" si="3"/>
        <v>54</v>
      </c>
      <c r="AB15" t="str">
        <f t="shared" si="4"/>
        <v>live%20games</v>
      </c>
      <c r="AC15" t="str">
        <f>SUBSTITUTE(Table5[[#This Row],[source_url_category]], "%20", " ")</f>
        <v>live games</v>
      </c>
      <c r="AD15" s="2" t="b">
        <v>0</v>
      </c>
      <c r="AE15" s="2" t="str">
        <f>LOWER(Table5[[#This Row],[staff_pick]])</f>
        <v>false</v>
      </c>
      <c r="AF15" t="s">
        <v>17</v>
      </c>
      <c r="AH15" s="20">
        <v>82</v>
      </c>
      <c r="AI15" s="21">
        <v>135083.28</v>
      </c>
      <c r="AK15" s="36" t="str" cm="1">
        <f t="array" ref="AK15:AK19">_xlfn._xlws.SORT(_xlfn.UNIQUE(Table5[source_url_category_cleaned]))</f>
        <v>live games</v>
      </c>
      <c r="AL15" s="39">
        <f>COUNTIF(Table5[source_url_category_cleaned],AK15)</f>
        <v>9</v>
      </c>
      <c r="AP15" s="41" t="str">
        <v>Ukraine</v>
      </c>
      <c r="AQ15" s="41">
        <f t="shared" si="10"/>
        <v>1</v>
      </c>
      <c r="AR15" s="41">
        <f t="shared" si="11"/>
        <v>13565</v>
      </c>
      <c r="AS15" s="41">
        <f t="shared" si="12"/>
        <v>13565</v>
      </c>
    </row>
    <row r="16" spans="1:45" x14ac:dyDescent="0.2">
      <c r="A16" s="18">
        <v>189035699</v>
      </c>
      <c r="B16" t="s">
        <v>125</v>
      </c>
      <c r="C16" t="str">
        <f>CONCATENATE(Table5[[#This Row],[id]], "-", PROPER(Table5[[#This Row],[name]]))</f>
        <v>189035699-Mutants Et Zombie</v>
      </c>
      <c r="D16" s="1">
        <v>43491</v>
      </c>
      <c r="E16" s="1">
        <v>43502</v>
      </c>
      <c r="F16" s="1">
        <v>43532</v>
      </c>
      <c r="G16" s="18">
        <f t="shared" si="5"/>
        <v>30</v>
      </c>
      <c r="H16" s="18">
        <f t="shared" si="6"/>
        <v>3</v>
      </c>
      <c r="I16" s="18">
        <f t="shared" si="7"/>
        <v>2</v>
      </c>
      <c r="J16" s="5" t="b">
        <f t="shared" si="8"/>
        <v>0</v>
      </c>
      <c r="K16" s="28">
        <v>16</v>
      </c>
      <c r="L16" s="28">
        <f t="shared" si="0"/>
        <v>16</v>
      </c>
      <c r="M16" s="22">
        <f t="shared" si="9"/>
        <v>30</v>
      </c>
      <c r="N16" t="s">
        <v>33</v>
      </c>
      <c r="O16">
        <f>VLOOKUP(Table5[[#This Row],[currency]],Table3[],2)</f>
        <v>0.70150824000000001</v>
      </c>
      <c r="P16" s="18">
        <v>904</v>
      </c>
      <c r="Q16" s="32">
        <f>Table5[[#This Row],[pledged]]*Table5[[#This Row],[Exchange_rate]]</f>
        <v>634.16344895999998</v>
      </c>
      <c r="R16" s="33">
        <f>ROUND(Table5[[#This Row],[Pledged_USD]],0)</f>
        <v>634</v>
      </c>
      <c r="S16" s="35">
        <v>9000</v>
      </c>
      <c r="T16" s="35">
        <f>VALUE(Table5[[#This Row],[goal_USD]])</f>
        <v>9000</v>
      </c>
      <c r="U16" t="s">
        <v>405</v>
      </c>
      <c r="V16" t="s">
        <v>652</v>
      </c>
      <c r="W16" t="str">
        <f t="shared" si="1"/>
        <v>Singapore, Central Singapore</v>
      </c>
      <c r="X16" t="s">
        <v>538</v>
      </c>
      <c r="Y16" t="str">
        <f t="shared" si="2"/>
        <v>Singapore</v>
      </c>
      <c r="Z16" t="s">
        <v>107</v>
      </c>
      <c r="AA16">
        <f t="shared" si="3"/>
        <v>54</v>
      </c>
      <c r="AB16" t="str">
        <f t="shared" si="4"/>
        <v>playing%20cards</v>
      </c>
      <c r="AC16" t="str">
        <f>SUBSTITUTE(Table5[[#This Row],[source_url_category]], "%20", " ")</f>
        <v>playing cards</v>
      </c>
      <c r="AD16" s="2" t="b">
        <v>0</v>
      </c>
      <c r="AE16" s="2" t="str">
        <f>LOWER(Table5[[#This Row],[staff_pick]])</f>
        <v>false</v>
      </c>
      <c r="AF16" t="s">
        <v>17</v>
      </c>
      <c r="AH16" s="20">
        <v>155</v>
      </c>
      <c r="AI16" s="21">
        <v>123665</v>
      </c>
      <c r="AK16" s="36" t="str">
        <v>mobile games</v>
      </c>
      <c r="AL16" s="39">
        <f>COUNTIF(Table5[source_url_category_cleaned],AK16)</f>
        <v>7</v>
      </c>
      <c r="AP16" s="41" t="str">
        <v>United Kingdom</v>
      </c>
      <c r="AQ16" s="41">
        <f t="shared" si="10"/>
        <v>14</v>
      </c>
      <c r="AR16" s="41">
        <f t="shared" si="11"/>
        <v>218220</v>
      </c>
      <c r="AS16" s="41">
        <f t="shared" si="12"/>
        <v>13638.75</v>
      </c>
    </row>
    <row r="17" spans="1:45" x14ac:dyDescent="0.2">
      <c r="A17" s="18">
        <v>191795368</v>
      </c>
      <c r="B17" t="s">
        <v>142</v>
      </c>
      <c r="C17" t="str">
        <f>CONCATENATE(Table5[[#This Row],[id]], "-", PROPER(Table5[[#This Row],[name]]))</f>
        <v>191795368-Playing Cards: The Jedi Of The Old Republic</v>
      </c>
      <c r="D17" s="1">
        <v>43493</v>
      </c>
      <c r="E17" s="1">
        <v>43514</v>
      </c>
      <c r="F17" s="1">
        <v>43559</v>
      </c>
      <c r="G17" s="18">
        <f t="shared" si="5"/>
        <v>45</v>
      </c>
      <c r="H17" s="18">
        <f t="shared" si="6"/>
        <v>1</v>
      </c>
      <c r="I17" s="18">
        <f t="shared" si="7"/>
        <v>2</v>
      </c>
      <c r="J17" s="5" t="b">
        <f t="shared" si="8"/>
        <v>0</v>
      </c>
      <c r="K17" s="29">
        <v>1331</v>
      </c>
      <c r="L17" s="29">
        <f t="shared" si="0"/>
        <v>1331</v>
      </c>
      <c r="M17" s="22">
        <f t="shared" si="9"/>
        <v>45</v>
      </c>
      <c r="N17" t="s">
        <v>15</v>
      </c>
      <c r="O17">
        <f>VLOOKUP(Table5[[#This Row],[currency]],Table3[],2)</f>
        <v>1</v>
      </c>
      <c r="P17" s="18">
        <v>157049</v>
      </c>
      <c r="Q17" s="32">
        <f>Table5[[#This Row],[pledged]]*Table5[[#This Row],[Exchange_rate]]</f>
        <v>157049</v>
      </c>
      <c r="R17" s="33">
        <f>ROUND(Table5[[#This Row],[Pledged_USD]],0)</f>
        <v>157049</v>
      </c>
      <c r="S17" s="35">
        <v>50000</v>
      </c>
      <c r="T17" s="35">
        <f>VALUE(Table5[[#This Row],[goal_USD]])</f>
        <v>50000</v>
      </c>
      <c r="U17" t="s">
        <v>486</v>
      </c>
      <c r="V17" t="s">
        <v>651</v>
      </c>
      <c r="W17" t="str">
        <f t="shared" si="1"/>
        <v>Poulsbo, WA</v>
      </c>
      <c r="X17" t="s">
        <v>527</v>
      </c>
      <c r="Y17" t="str">
        <f t="shared" si="2"/>
        <v>United States</v>
      </c>
      <c r="Z17" t="s">
        <v>38</v>
      </c>
      <c r="AA17">
        <f t="shared" si="3"/>
        <v>54</v>
      </c>
      <c r="AB17" t="str">
        <f t="shared" si="4"/>
        <v>tabletop%20games</v>
      </c>
      <c r="AC17" t="str">
        <f>SUBSTITUTE(Table5[[#This Row],[source_url_category]], "%20", " ")</f>
        <v>tabletop games</v>
      </c>
      <c r="AD17" s="2" t="b">
        <v>0</v>
      </c>
      <c r="AE17" s="2" t="str">
        <f>LOWER(Table5[[#This Row],[staff_pick]])</f>
        <v>false</v>
      </c>
      <c r="AF17" t="s">
        <v>16</v>
      </c>
      <c r="AH17" s="20">
        <v>197</v>
      </c>
      <c r="AI17" s="21">
        <v>120066</v>
      </c>
      <c r="AK17" s="36" t="str">
        <v>playing cards</v>
      </c>
      <c r="AL17" s="39">
        <f>COUNTIF(Table5[source_url_category_cleaned],AK17)</f>
        <v>27</v>
      </c>
      <c r="AP17" s="41" t="str">
        <v>United States</v>
      </c>
      <c r="AQ17" s="41">
        <f t="shared" si="10"/>
        <v>80</v>
      </c>
      <c r="AR17" s="41">
        <f t="shared" si="11"/>
        <v>7686009</v>
      </c>
      <c r="AS17" s="41">
        <f t="shared" si="12"/>
        <v>85400.1</v>
      </c>
    </row>
    <row r="18" spans="1:45" x14ac:dyDescent="0.2">
      <c r="A18" s="18">
        <v>194146399</v>
      </c>
      <c r="B18" t="s">
        <v>118</v>
      </c>
      <c r="C18" t="str">
        <f>CONCATENATE(Table5[[#This Row],[id]], "-", PROPER(Table5[[#This Row],[name]]))</f>
        <v>194146399-Azote Playing Cards | First Edition</v>
      </c>
      <c r="D18" s="1">
        <v>43493</v>
      </c>
      <c r="E18" s="1">
        <v>43529</v>
      </c>
      <c r="F18" s="1">
        <v>43559</v>
      </c>
      <c r="G18" s="18">
        <f t="shared" si="5"/>
        <v>30</v>
      </c>
      <c r="H18" s="18">
        <f t="shared" si="6"/>
        <v>2</v>
      </c>
      <c r="I18" s="18">
        <f t="shared" si="7"/>
        <v>3</v>
      </c>
      <c r="J18" s="5" t="b">
        <f t="shared" si="8"/>
        <v>0</v>
      </c>
      <c r="K18" s="28">
        <v>258</v>
      </c>
      <c r="L18" s="28">
        <f t="shared" si="0"/>
        <v>258</v>
      </c>
      <c r="M18" s="22">
        <f t="shared" si="9"/>
        <v>30</v>
      </c>
      <c r="N18" t="s">
        <v>15</v>
      </c>
      <c r="O18">
        <f>VLOOKUP(Table5[[#This Row],[currency]],Table3[],2)</f>
        <v>1</v>
      </c>
      <c r="P18" s="18">
        <v>6818</v>
      </c>
      <c r="Q18" s="32">
        <f>Table5[[#This Row],[pledged]]*Table5[[#This Row],[Exchange_rate]]</f>
        <v>6818</v>
      </c>
      <c r="R18" s="33">
        <f>ROUND(Table5[[#This Row],[Pledged_USD]],0)</f>
        <v>6818</v>
      </c>
      <c r="S18" s="35">
        <v>3500</v>
      </c>
      <c r="T18" s="35">
        <f>VALUE(Table5[[#This Row],[goal_USD]])</f>
        <v>3500</v>
      </c>
      <c r="U18" t="s">
        <v>430</v>
      </c>
      <c r="V18" t="s">
        <v>653</v>
      </c>
      <c r="W18" t="str">
        <f t="shared" si="1"/>
        <v>Franklin, WI</v>
      </c>
      <c r="X18" t="s">
        <v>527</v>
      </c>
      <c r="Y18" t="str">
        <f t="shared" si="2"/>
        <v>United States</v>
      </c>
      <c r="Z18" t="s">
        <v>38</v>
      </c>
      <c r="AA18">
        <f t="shared" si="3"/>
        <v>54</v>
      </c>
      <c r="AB18" t="str">
        <f t="shared" si="4"/>
        <v>tabletop%20games</v>
      </c>
      <c r="AC18" t="str">
        <f>SUBSTITUTE(Table5[[#This Row],[source_url_category]], "%20", " ")</f>
        <v>tabletop games</v>
      </c>
      <c r="AD18" s="2" t="b">
        <v>0</v>
      </c>
      <c r="AE18" s="2" t="str">
        <f>LOWER(Table5[[#This Row],[staff_pick]])</f>
        <v>false</v>
      </c>
      <c r="AF18" t="s">
        <v>16</v>
      </c>
      <c r="AH18" s="20">
        <v>266</v>
      </c>
      <c r="AI18" s="21">
        <v>109565.5</v>
      </c>
      <c r="AK18" s="36" t="str">
        <v>puzzles</v>
      </c>
      <c r="AL18" s="39">
        <f>COUNTIF(Table5[source_url_category_cleaned],AK18)</f>
        <v>3</v>
      </c>
    </row>
    <row r="19" spans="1:45" x14ac:dyDescent="0.2">
      <c r="A19" s="18">
        <v>229060132</v>
      </c>
      <c r="B19" t="s">
        <v>154</v>
      </c>
      <c r="C19" t="str">
        <f>CONCATENATE(Table5[[#This Row],[id]], "-", PROPER(Table5[[#This Row],[name]]))</f>
        <v>229060132-Monster Menagerie: Gruesome Foes</v>
      </c>
      <c r="D19" s="1">
        <v>43494</v>
      </c>
      <c r="E19" s="1">
        <v>43620</v>
      </c>
      <c r="F19" s="1">
        <v>43644</v>
      </c>
      <c r="G19" s="18">
        <f t="shared" si="5"/>
        <v>24</v>
      </c>
      <c r="H19" s="18">
        <f t="shared" si="6"/>
        <v>2</v>
      </c>
      <c r="I19" s="18">
        <f t="shared" si="7"/>
        <v>6</v>
      </c>
      <c r="J19" s="5" t="b">
        <f t="shared" si="8"/>
        <v>0</v>
      </c>
      <c r="K19" s="29">
        <v>2378</v>
      </c>
      <c r="L19" s="29">
        <f t="shared" si="0"/>
        <v>2378</v>
      </c>
      <c r="M19" s="22">
        <f t="shared" si="9"/>
        <v>24</v>
      </c>
      <c r="N19" t="s">
        <v>15</v>
      </c>
      <c r="O19">
        <f>VLOOKUP(Table5[[#This Row],[currency]],Table3[],2)</f>
        <v>1</v>
      </c>
      <c r="P19" s="18">
        <v>135083.28</v>
      </c>
      <c r="Q19" s="32">
        <f>Table5[[#This Row],[pledged]]*Table5[[#This Row],[Exchange_rate]]</f>
        <v>135083.28</v>
      </c>
      <c r="R19" s="33">
        <f>ROUND(Table5[[#This Row],[Pledged_USD]],0)</f>
        <v>135083</v>
      </c>
      <c r="S19" s="35">
        <v>50000</v>
      </c>
      <c r="T19" s="35">
        <f>VALUE(Table5[[#This Row],[goal_USD]])</f>
        <v>50000</v>
      </c>
      <c r="U19" t="s">
        <v>362</v>
      </c>
      <c r="V19" t="s">
        <v>654</v>
      </c>
      <c r="W19" t="str">
        <f t="shared" si="1"/>
        <v>Philadelphia, PA</v>
      </c>
      <c r="X19" t="s">
        <v>527</v>
      </c>
      <c r="Y19" t="str">
        <f t="shared" si="2"/>
        <v>United States</v>
      </c>
      <c r="Z19" t="s">
        <v>38</v>
      </c>
      <c r="AA19">
        <f t="shared" si="3"/>
        <v>54</v>
      </c>
      <c r="AB19" t="str">
        <f t="shared" si="4"/>
        <v>tabletop%20games</v>
      </c>
      <c r="AC19" t="str">
        <f>SUBSTITUTE(Table5[[#This Row],[source_url_category]], "%20", " ")</f>
        <v>tabletop games</v>
      </c>
      <c r="AD19" s="2" t="b">
        <v>1</v>
      </c>
      <c r="AE19" s="2" t="str">
        <f>LOWER(Table5[[#This Row],[staff_pick]])</f>
        <v>true</v>
      </c>
      <c r="AF19" t="s">
        <v>16</v>
      </c>
      <c r="AH19" s="20">
        <v>367</v>
      </c>
      <c r="AI19" s="21"/>
      <c r="AK19" s="36" t="str">
        <v>tabletop games</v>
      </c>
      <c r="AL19" s="39">
        <f>COUNTIF(Table5[source_url_category_cleaned],AK19)</f>
        <v>106</v>
      </c>
    </row>
    <row r="20" spans="1:45" x14ac:dyDescent="0.2">
      <c r="A20" s="18">
        <v>255478760</v>
      </c>
      <c r="B20" t="s">
        <v>232</v>
      </c>
      <c r="C20" t="str">
        <f>CONCATENATE(Table5[[#This Row],[id]], "-", PROPER(Table5[[#This Row],[name]]))</f>
        <v>255478760-Hit The Streets: Defend The Block Tabletop Rpg</v>
      </c>
      <c r="D20" s="1">
        <v>43496</v>
      </c>
      <c r="E20" s="1">
        <v>43501</v>
      </c>
      <c r="F20" s="1">
        <v>43538</v>
      </c>
      <c r="G20" s="18">
        <f t="shared" si="5"/>
        <v>37</v>
      </c>
      <c r="H20" s="18">
        <f t="shared" si="6"/>
        <v>2</v>
      </c>
      <c r="I20" s="18">
        <f t="shared" si="7"/>
        <v>2</v>
      </c>
      <c r="J20" s="5" t="b">
        <f t="shared" si="8"/>
        <v>0</v>
      </c>
      <c r="K20" s="28">
        <v>2</v>
      </c>
      <c r="L20" s="28">
        <f t="shared" si="0"/>
        <v>2</v>
      </c>
      <c r="M20" s="22">
        <f t="shared" si="9"/>
        <v>37</v>
      </c>
      <c r="N20" t="s">
        <v>18</v>
      </c>
      <c r="O20">
        <f>VLOOKUP(Table5[[#This Row],[currency]],Table3[],2)</f>
        <v>1.16955371</v>
      </c>
      <c r="P20" s="18">
        <v>2</v>
      </c>
      <c r="Q20" s="32">
        <f>Table5[[#This Row],[pledged]]*Table5[[#This Row],[Exchange_rate]]</f>
        <v>2.3391074199999999</v>
      </c>
      <c r="R20" s="33">
        <f>ROUND(Table5[[#This Row],[Pledged_USD]],0)</f>
        <v>2</v>
      </c>
      <c r="S20" s="35">
        <v>1500</v>
      </c>
      <c r="T20" s="35">
        <f>VALUE(Table5[[#This Row],[goal_USD]])</f>
        <v>1500</v>
      </c>
      <c r="U20" t="s">
        <v>366</v>
      </c>
      <c r="V20" t="s">
        <v>655</v>
      </c>
      <c r="W20" t="str">
        <f t="shared" si="1"/>
        <v>Barcelona, Catalonia</v>
      </c>
      <c r="X20" t="s">
        <v>534</v>
      </c>
      <c r="Y20" t="str">
        <f t="shared" si="2"/>
        <v>Spain</v>
      </c>
      <c r="Z20" t="s">
        <v>41</v>
      </c>
      <c r="AA20">
        <f t="shared" si="3"/>
        <v>54</v>
      </c>
      <c r="AB20" t="str">
        <f t="shared" si="4"/>
        <v>live%20games</v>
      </c>
      <c r="AC20" t="str">
        <f>SUBSTITUTE(Table5[[#This Row],[source_url_category]], "%20", " ")</f>
        <v>live games</v>
      </c>
      <c r="AD20" s="2" t="b">
        <v>0</v>
      </c>
      <c r="AE20" s="2" t="str">
        <f>LOWER(Table5[[#This Row],[staff_pick]])</f>
        <v>false</v>
      </c>
      <c r="AF20" t="s">
        <v>17</v>
      </c>
      <c r="AH20" s="20">
        <v>401</v>
      </c>
      <c r="AI20" s="21"/>
    </row>
    <row r="21" spans="1:45" x14ac:dyDescent="0.2">
      <c r="A21" s="18">
        <v>257726009</v>
      </c>
      <c r="B21" t="s">
        <v>63</v>
      </c>
      <c r="C21" t="str">
        <f>CONCATENATE(Table5[[#This Row],[id]], "-", PROPER(Table5[[#This Row],[name]]))</f>
        <v>257726009-Dice Palace: Display &amp; Storage Case For Dice &amp; Miniatures</v>
      </c>
      <c r="D21" s="1">
        <v>43498</v>
      </c>
      <c r="E21" s="1">
        <v>43519</v>
      </c>
      <c r="F21" s="1">
        <v>43549</v>
      </c>
      <c r="G21" s="18">
        <f t="shared" si="5"/>
        <v>30</v>
      </c>
      <c r="H21" s="18">
        <f t="shared" si="6"/>
        <v>6</v>
      </c>
      <c r="I21" s="18">
        <f t="shared" si="7"/>
        <v>2</v>
      </c>
      <c r="J21" s="5" t="b">
        <f t="shared" si="8"/>
        <v>0</v>
      </c>
      <c r="K21" s="29">
        <v>207</v>
      </c>
      <c r="L21" s="29">
        <f t="shared" si="0"/>
        <v>207</v>
      </c>
      <c r="M21" s="22">
        <f t="shared" si="9"/>
        <v>30</v>
      </c>
      <c r="N21" t="s">
        <v>18</v>
      </c>
      <c r="O21">
        <f>VLOOKUP(Table5[[#This Row],[currency]],Table3[],2)</f>
        <v>1.16955371</v>
      </c>
      <c r="P21" s="18">
        <v>7339</v>
      </c>
      <c r="Q21" s="32">
        <f>Table5[[#This Row],[pledged]]*Table5[[#This Row],[Exchange_rate]]</f>
        <v>8583.3546776900002</v>
      </c>
      <c r="R21" s="33">
        <f>ROUND(Table5[[#This Row],[Pledged_USD]],0)</f>
        <v>8583</v>
      </c>
      <c r="S21" s="35">
        <v>7000</v>
      </c>
      <c r="T21" s="35">
        <f>VALUE(Table5[[#This Row],[goal_USD]])</f>
        <v>7000</v>
      </c>
      <c r="U21" t="s">
        <v>470</v>
      </c>
      <c r="V21" t="s">
        <v>656</v>
      </c>
      <c r="W21" t="str">
        <f t="shared" si="1"/>
        <v>Rennes, Ile-de-France</v>
      </c>
      <c r="X21" t="s">
        <v>530</v>
      </c>
      <c r="Y21" t="str">
        <f t="shared" si="2"/>
        <v>France</v>
      </c>
      <c r="Z21" t="s">
        <v>107</v>
      </c>
      <c r="AA21">
        <f t="shared" si="3"/>
        <v>54</v>
      </c>
      <c r="AB21" t="str">
        <f t="shared" si="4"/>
        <v>playing%20cards</v>
      </c>
      <c r="AC21" t="str">
        <f>SUBSTITUTE(Table5[[#This Row],[source_url_category]], "%20", " ")</f>
        <v>playing cards</v>
      </c>
      <c r="AD21" s="2" t="b">
        <v>0</v>
      </c>
      <c r="AE21" s="2" t="str">
        <f>LOWER(Table5[[#This Row],[staff_pick]])</f>
        <v>false</v>
      </c>
      <c r="AF21" t="s">
        <v>16</v>
      </c>
      <c r="AH21" s="20">
        <v>409</v>
      </c>
      <c r="AI21" s="21"/>
      <c r="AK21" s="43" t="s">
        <v>778</v>
      </c>
      <c r="AL21" s="42">
        <f>AVERAGEIFS(R:R,AC:AC,AC77,AF:AF,AF2)</f>
        <v>101581.34065934065</v>
      </c>
    </row>
    <row r="22" spans="1:45" x14ac:dyDescent="0.2">
      <c r="A22" s="18">
        <v>265338582</v>
      </c>
      <c r="B22" t="s">
        <v>702</v>
      </c>
      <c r="C22" t="str">
        <f>CONCATENATE(Table5[[#This Row],[id]], "-", PROPER(Table5[[#This Row],[name]]))</f>
        <v>265338582-Peculiarity Oracle, Sacred Space And Beautiful Word Cards</v>
      </c>
      <c r="D22" s="1">
        <v>43498</v>
      </c>
      <c r="E22" s="1">
        <v>43529</v>
      </c>
      <c r="F22" s="1">
        <v>43545</v>
      </c>
      <c r="G22" s="18">
        <f t="shared" si="5"/>
        <v>16</v>
      </c>
      <c r="H22" s="18">
        <f t="shared" si="6"/>
        <v>2</v>
      </c>
      <c r="I22" s="18">
        <f t="shared" si="7"/>
        <v>3</v>
      </c>
      <c r="J22" s="5" t="b">
        <f t="shared" si="8"/>
        <v>0</v>
      </c>
      <c r="K22" s="28">
        <v>5428</v>
      </c>
      <c r="L22" s="28">
        <f t="shared" si="0"/>
        <v>5428</v>
      </c>
      <c r="M22" s="22">
        <f t="shared" si="9"/>
        <v>16</v>
      </c>
      <c r="N22" t="s">
        <v>18</v>
      </c>
      <c r="O22">
        <f>VLOOKUP(Table5[[#This Row],[currency]],Table3[],2)</f>
        <v>1.16955371</v>
      </c>
      <c r="P22" s="18">
        <v>389552</v>
      </c>
      <c r="Q22" s="32">
        <f>Table5[[#This Row],[pledged]]*Table5[[#This Row],[Exchange_rate]]</f>
        <v>455601.98683791998</v>
      </c>
      <c r="R22" s="33">
        <f>ROUND(Table5[[#This Row],[Pledged_USD]],0)</f>
        <v>455602</v>
      </c>
      <c r="S22" s="35">
        <v>30000</v>
      </c>
      <c r="T22" s="35">
        <f>VALUE(Table5[[#This Row],[goal_USD]])</f>
        <v>30000</v>
      </c>
      <c r="U22" t="s">
        <v>475</v>
      </c>
      <c r="V22" t="s">
        <v>657</v>
      </c>
      <c r="W22" t="str">
        <f t="shared" si="1"/>
        <v>Seville, Andalusia</v>
      </c>
      <c r="X22" t="s">
        <v>534</v>
      </c>
      <c r="Y22" t="str">
        <f t="shared" si="2"/>
        <v>Spain</v>
      </c>
      <c r="Z22" t="s">
        <v>38</v>
      </c>
      <c r="AA22">
        <f t="shared" si="3"/>
        <v>54</v>
      </c>
      <c r="AB22" t="str">
        <f t="shared" si="4"/>
        <v>tabletop%20games</v>
      </c>
      <c r="AC22" t="str">
        <f>SUBSTITUTE(Table5[[#This Row],[source_url_category]], "%20", " ")</f>
        <v>tabletop games</v>
      </c>
      <c r="AD22" s="2" t="b">
        <v>0</v>
      </c>
      <c r="AE22" s="2" t="str">
        <f>LOWER(Table5[[#This Row],[staff_pick]])</f>
        <v>false</v>
      </c>
      <c r="AF22" t="s">
        <v>16</v>
      </c>
      <c r="AH22" s="20">
        <v>479</v>
      </c>
      <c r="AI22" s="21"/>
    </row>
    <row r="23" spans="1:45" x14ac:dyDescent="0.2">
      <c r="A23" s="18">
        <v>272156229</v>
      </c>
      <c r="B23" t="s">
        <v>163</v>
      </c>
      <c r="C23" t="str">
        <f>CONCATENATE(Table5[[#This Row],[id]], "-", PROPER(Table5[[#This Row],[name]]))</f>
        <v>272156229-Doublesix Dice: Generation Two</v>
      </c>
      <c r="D23" s="1">
        <v>43500</v>
      </c>
      <c r="E23" s="1">
        <v>43655</v>
      </c>
      <c r="F23" s="1">
        <v>43671</v>
      </c>
      <c r="G23" s="18">
        <f t="shared" si="5"/>
        <v>16</v>
      </c>
      <c r="H23" s="18">
        <f t="shared" si="6"/>
        <v>2</v>
      </c>
      <c r="I23" s="18">
        <f t="shared" si="7"/>
        <v>7</v>
      </c>
      <c r="J23" s="5" t="b">
        <f t="shared" si="8"/>
        <v>0</v>
      </c>
      <c r="K23" s="29">
        <v>165</v>
      </c>
      <c r="L23" s="29">
        <f t="shared" si="0"/>
        <v>165</v>
      </c>
      <c r="M23" s="22">
        <f t="shared" si="9"/>
        <v>16</v>
      </c>
      <c r="N23" t="s">
        <v>15</v>
      </c>
      <c r="O23">
        <f>VLOOKUP(Table5[[#This Row],[currency]],Table3[],2)</f>
        <v>1</v>
      </c>
      <c r="P23" s="18">
        <v>5513</v>
      </c>
      <c r="Q23" s="32">
        <f>Table5[[#This Row],[pledged]]*Table5[[#This Row],[Exchange_rate]]</f>
        <v>5513</v>
      </c>
      <c r="R23" s="33">
        <f>ROUND(Table5[[#This Row],[Pledged_USD]],0)</f>
        <v>5513</v>
      </c>
      <c r="S23" s="35">
        <v>3000</v>
      </c>
      <c r="T23" s="35">
        <f>VALUE(Table5[[#This Row],[goal_USD]])</f>
        <v>3000</v>
      </c>
      <c r="U23" t="s">
        <v>386</v>
      </c>
      <c r="V23" t="s">
        <v>658</v>
      </c>
      <c r="W23" t="str">
        <f t="shared" si="1"/>
        <v>Columbia, SC</v>
      </c>
      <c r="X23" t="s">
        <v>527</v>
      </c>
      <c r="Y23" t="str">
        <f t="shared" si="2"/>
        <v>United States</v>
      </c>
      <c r="Z23" t="s">
        <v>38</v>
      </c>
      <c r="AA23">
        <f t="shared" si="3"/>
        <v>54</v>
      </c>
      <c r="AB23" t="str">
        <f t="shared" si="4"/>
        <v>tabletop%20games</v>
      </c>
      <c r="AC23" t="str">
        <f>SUBSTITUTE(Table5[[#This Row],[source_url_category]], "%20", " ")</f>
        <v>tabletop games</v>
      </c>
      <c r="AD23" s="2" t="b">
        <v>0</v>
      </c>
      <c r="AE23" s="2" t="str">
        <f>LOWER(Table5[[#This Row],[staff_pick]])</f>
        <v>false</v>
      </c>
      <c r="AF23" t="s">
        <v>16</v>
      </c>
      <c r="AH23" s="19">
        <v>607</v>
      </c>
      <c r="AI23" s="10"/>
    </row>
    <row r="24" spans="1:45" x14ac:dyDescent="0.2">
      <c r="A24" s="18">
        <v>279753888</v>
      </c>
      <c r="B24" t="s">
        <v>152</v>
      </c>
      <c r="C24" t="str">
        <f>CONCATENATE(Table5[[#This Row],[id]], "-", PROPER(Table5[[#This Row],[name]]))</f>
        <v>279753888-The World Of The Lost Lands</v>
      </c>
      <c r="D24" s="1">
        <v>43500</v>
      </c>
      <c r="E24" s="1">
        <v>43542</v>
      </c>
      <c r="F24" s="1">
        <v>43558</v>
      </c>
      <c r="G24" s="18">
        <f t="shared" si="5"/>
        <v>16</v>
      </c>
      <c r="H24" s="18">
        <f t="shared" si="6"/>
        <v>1</v>
      </c>
      <c r="I24" s="18">
        <f t="shared" si="7"/>
        <v>3</v>
      </c>
      <c r="J24" s="5" t="b">
        <f t="shared" si="8"/>
        <v>0</v>
      </c>
      <c r="K24" s="28">
        <v>30</v>
      </c>
      <c r="L24" s="28">
        <f t="shared" si="0"/>
        <v>30</v>
      </c>
      <c r="M24" s="22">
        <f t="shared" si="9"/>
        <v>16</v>
      </c>
      <c r="N24" t="s">
        <v>15</v>
      </c>
      <c r="O24">
        <f>VLOOKUP(Table5[[#This Row],[currency]],Table3[],2)</f>
        <v>1</v>
      </c>
      <c r="P24" s="18">
        <v>1232</v>
      </c>
      <c r="Q24" s="32">
        <f>Table5[[#This Row],[pledged]]*Table5[[#This Row],[Exchange_rate]]</f>
        <v>1232</v>
      </c>
      <c r="R24" s="33">
        <f>ROUND(Table5[[#This Row],[Pledged_USD]],0)</f>
        <v>1232</v>
      </c>
      <c r="S24" s="35">
        <v>1000</v>
      </c>
      <c r="T24" s="35">
        <f>VALUE(Table5[[#This Row],[goal_USD]])</f>
        <v>1000</v>
      </c>
      <c r="U24" t="s">
        <v>473</v>
      </c>
      <c r="V24" t="s">
        <v>659</v>
      </c>
      <c r="W24" t="str">
        <f t="shared" si="1"/>
        <v>Ashland, OR</v>
      </c>
      <c r="X24" t="s">
        <v>527</v>
      </c>
      <c r="Y24" t="str">
        <f t="shared" si="2"/>
        <v>United States</v>
      </c>
      <c r="Z24" t="s">
        <v>38</v>
      </c>
      <c r="AA24">
        <f t="shared" si="3"/>
        <v>54</v>
      </c>
      <c r="AB24" t="str">
        <f t="shared" si="4"/>
        <v>tabletop%20games</v>
      </c>
      <c r="AC24" t="str">
        <f>SUBSTITUTE(Table5[[#This Row],[source_url_category]], "%20", " ")</f>
        <v>tabletop games</v>
      </c>
      <c r="AD24" s="2" t="b">
        <v>0</v>
      </c>
      <c r="AE24" s="2" t="str">
        <f>LOWER(Table5[[#This Row],[staff_pick]])</f>
        <v>false</v>
      </c>
      <c r="AF24" t="s">
        <v>16</v>
      </c>
      <c r="AH24" s="19">
        <v>741</v>
      </c>
      <c r="AI24" s="10"/>
    </row>
    <row r="25" spans="1:45" x14ac:dyDescent="0.2">
      <c r="A25" s="18">
        <v>283822315</v>
      </c>
      <c r="B25" t="s">
        <v>116</v>
      </c>
      <c r="C25" t="str">
        <f>CONCATENATE(Table5[[#This Row],[id]], "-", PROPER(Table5[[#This Row],[name]]))</f>
        <v>283822315-Super Dude Jump</v>
      </c>
      <c r="D25" s="1">
        <v>43502</v>
      </c>
      <c r="E25" s="1">
        <v>43507</v>
      </c>
      <c r="F25" s="1">
        <v>43529</v>
      </c>
      <c r="G25" s="18">
        <f t="shared" si="5"/>
        <v>22</v>
      </c>
      <c r="H25" s="18">
        <f t="shared" si="6"/>
        <v>1</v>
      </c>
      <c r="I25" s="18">
        <f t="shared" si="7"/>
        <v>2</v>
      </c>
      <c r="J25" s="5" t="b">
        <f t="shared" si="8"/>
        <v>0</v>
      </c>
      <c r="K25" s="29">
        <v>374</v>
      </c>
      <c r="L25" s="29">
        <f t="shared" si="0"/>
        <v>374</v>
      </c>
      <c r="M25" s="22">
        <f t="shared" si="9"/>
        <v>22</v>
      </c>
      <c r="N25" t="s">
        <v>15</v>
      </c>
      <c r="O25">
        <f>VLOOKUP(Table5[[#This Row],[currency]],Table3[],2)</f>
        <v>1</v>
      </c>
      <c r="P25" s="18">
        <v>24135</v>
      </c>
      <c r="Q25" s="32">
        <f>Table5[[#This Row],[pledged]]*Table5[[#This Row],[Exchange_rate]]</f>
        <v>24135</v>
      </c>
      <c r="R25" s="33">
        <f>ROUND(Table5[[#This Row],[Pledged_USD]],0)</f>
        <v>24135</v>
      </c>
      <c r="S25" s="35">
        <v>2500</v>
      </c>
      <c r="T25" s="35">
        <f>VALUE(Table5[[#This Row],[goal_USD]])</f>
        <v>2500</v>
      </c>
      <c r="U25" t="s">
        <v>425</v>
      </c>
      <c r="V25" t="s">
        <v>660</v>
      </c>
      <c r="W25" t="str">
        <f t="shared" si="1"/>
        <v>Little Rock, AR</v>
      </c>
      <c r="X25" t="s">
        <v>527</v>
      </c>
      <c r="Y25" t="str">
        <f t="shared" si="2"/>
        <v>United States</v>
      </c>
      <c r="Z25" t="s">
        <v>38</v>
      </c>
      <c r="AA25">
        <f t="shared" si="3"/>
        <v>54</v>
      </c>
      <c r="AB25" t="str">
        <f t="shared" si="4"/>
        <v>tabletop%20games</v>
      </c>
      <c r="AC25" t="str">
        <f>SUBSTITUTE(Table5[[#This Row],[source_url_category]], "%20", " ")</f>
        <v>tabletop games</v>
      </c>
      <c r="AD25" s="2" t="b">
        <v>0</v>
      </c>
      <c r="AE25" s="2" t="str">
        <f>LOWER(Table5[[#This Row],[staff_pick]])</f>
        <v>false</v>
      </c>
      <c r="AF25" t="s">
        <v>16</v>
      </c>
      <c r="AH25" s="19">
        <v>808</v>
      </c>
      <c r="AI25" s="10"/>
    </row>
    <row r="26" spans="1:45" x14ac:dyDescent="0.2">
      <c r="A26" s="18">
        <v>302537271</v>
      </c>
      <c r="B26" t="s">
        <v>114</v>
      </c>
      <c r="C26" t="str">
        <f>CONCATENATE(Table5[[#This Row],[id]], "-", PROPER(Table5[[#This Row],[name]]))</f>
        <v>302537271-Sloosh Cards</v>
      </c>
      <c r="D26" s="1">
        <v>43504</v>
      </c>
      <c r="E26" s="1">
        <v>43506</v>
      </c>
      <c r="F26" s="1">
        <v>43536</v>
      </c>
      <c r="G26" s="18">
        <f t="shared" si="5"/>
        <v>30</v>
      </c>
      <c r="H26" s="18">
        <f t="shared" si="6"/>
        <v>7</v>
      </c>
      <c r="I26" s="18">
        <f t="shared" si="7"/>
        <v>2</v>
      </c>
      <c r="J26" s="5" t="b">
        <f t="shared" si="8"/>
        <v>0</v>
      </c>
      <c r="K26" s="28">
        <v>310</v>
      </c>
      <c r="L26" s="28">
        <f t="shared" si="0"/>
        <v>310</v>
      </c>
      <c r="M26" s="22">
        <f t="shared" si="9"/>
        <v>30</v>
      </c>
      <c r="N26" t="s">
        <v>33</v>
      </c>
      <c r="O26">
        <f>VLOOKUP(Table5[[#This Row],[currency]],Table3[],2)</f>
        <v>0.70150824000000001</v>
      </c>
      <c r="P26" s="18">
        <v>20861</v>
      </c>
      <c r="Q26" s="32">
        <f>Table5[[#This Row],[pledged]]*Table5[[#This Row],[Exchange_rate]]</f>
        <v>14634.16339464</v>
      </c>
      <c r="R26" s="33">
        <f>ROUND(Table5[[#This Row],[Pledged_USD]],0)</f>
        <v>14634</v>
      </c>
      <c r="S26" s="35">
        <v>6800</v>
      </c>
      <c r="T26" s="35">
        <f>VALUE(Table5[[#This Row],[goal_USD]])</f>
        <v>6800</v>
      </c>
      <c r="U26" t="s">
        <v>405</v>
      </c>
      <c r="V26" t="s">
        <v>652</v>
      </c>
      <c r="W26" t="str">
        <f t="shared" si="1"/>
        <v>Singapore, Central Singapore</v>
      </c>
      <c r="X26" t="s">
        <v>538</v>
      </c>
      <c r="Y26" t="str">
        <f t="shared" si="2"/>
        <v>Singapore</v>
      </c>
      <c r="Z26" t="s">
        <v>107</v>
      </c>
      <c r="AA26">
        <f t="shared" si="3"/>
        <v>54</v>
      </c>
      <c r="AB26" t="str">
        <f t="shared" si="4"/>
        <v>playing%20cards</v>
      </c>
      <c r="AC26" t="str">
        <f>SUBSTITUTE(Table5[[#This Row],[source_url_category]], "%20", " ")</f>
        <v>playing cards</v>
      </c>
      <c r="AD26" s="2" t="b">
        <v>0</v>
      </c>
      <c r="AE26" s="2" t="str">
        <f>LOWER(Table5[[#This Row],[staff_pick]])</f>
        <v>false</v>
      </c>
      <c r="AF26" t="s">
        <v>16</v>
      </c>
      <c r="AH26" s="19">
        <v>815</v>
      </c>
      <c r="AI26" s="10"/>
    </row>
    <row r="27" spans="1:45" x14ac:dyDescent="0.2">
      <c r="A27" s="18">
        <v>310730322</v>
      </c>
      <c r="B27" t="s">
        <v>274</v>
      </c>
      <c r="C27" t="str">
        <f>CONCATENATE(Table5[[#This Row],[id]], "-", PROPER(Table5[[#This Row],[name]]))</f>
        <v>310730322-Dice Friend - Innovative Dice Tray &amp; Dice Bag - 2 In 1</v>
      </c>
      <c r="D27" s="1">
        <v>43507</v>
      </c>
      <c r="E27" s="1">
        <v>43593</v>
      </c>
      <c r="F27" s="1">
        <v>43616</v>
      </c>
      <c r="G27" s="18">
        <f t="shared" si="5"/>
        <v>23</v>
      </c>
      <c r="H27" s="18">
        <f t="shared" si="6"/>
        <v>3</v>
      </c>
      <c r="I27" s="18">
        <f t="shared" si="7"/>
        <v>5</v>
      </c>
      <c r="J27" s="5" t="b">
        <f t="shared" si="8"/>
        <v>0</v>
      </c>
      <c r="K27" s="29">
        <v>291</v>
      </c>
      <c r="L27" s="29">
        <f t="shared" si="0"/>
        <v>291</v>
      </c>
      <c r="M27" s="22">
        <f t="shared" si="9"/>
        <v>23</v>
      </c>
      <c r="N27" t="s">
        <v>15</v>
      </c>
      <c r="O27">
        <f>VLOOKUP(Table5[[#This Row],[currency]],Table3[],2)</f>
        <v>1</v>
      </c>
      <c r="P27" s="18">
        <v>6234</v>
      </c>
      <c r="Q27" s="32">
        <f>Table5[[#This Row],[pledged]]*Table5[[#This Row],[Exchange_rate]]</f>
        <v>6234</v>
      </c>
      <c r="R27" s="33">
        <f>ROUND(Table5[[#This Row],[Pledged_USD]],0)</f>
        <v>6234</v>
      </c>
      <c r="S27" s="35">
        <v>3200</v>
      </c>
      <c r="T27" s="35">
        <f>VALUE(Table5[[#This Row],[goal_USD]])</f>
        <v>3200</v>
      </c>
      <c r="U27" t="s">
        <v>441</v>
      </c>
      <c r="V27" t="s">
        <v>649</v>
      </c>
      <c r="W27" t="str">
        <f t="shared" si="1"/>
        <v>Rochester, NY</v>
      </c>
      <c r="X27" t="s">
        <v>527</v>
      </c>
      <c r="Y27" t="str">
        <f t="shared" si="2"/>
        <v>United States</v>
      </c>
      <c r="Z27" t="s">
        <v>38</v>
      </c>
      <c r="AA27">
        <f t="shared" si="3"/>
        <v>54</v>
      </c>
      <c r="AB27" t="str">
        <f t="shared" si="4"/>
        <v>tabletop%20games</v>
      </c>
      <c r="AC27" t="str">
        <f>SUBSTITUTE(Table5[[#This Row],[source_url_category]], "%20", " ")</f>
        <v>tabletop games</v>
      </c>
      <c r="AD27" s="2" t="b">
        <v>0</v>
      </c>
      <c r="AE27" s="2" t="str">
        <f>LOWER(Table5[[#This Row],[staff_pick]])</f>
        <v>false</v>
      </c>
      <c r="AF27" t="s">
        <v>16</v>
      </c>
      <c r="AH27" s="19">
        <v>821</v>
      </c>
      <c r="AI27" s="10"/>
    </row>
    <row r="28" spans="1:45" x14ac:dyDescent="0.2">
      <c r="A28" s="18">
        <v>310781283</v>
      </c>
      <c r="B28" t="s">
        <v>210</v>
      </c>
      <c r="C28" t="str">
        <f>CONCATENATE(Table5[[#This Row],[id]], "-", PROPER(Table5[[#This Row],[name]]))</f>
        <v>310781283-Dungeon Craft: Build Your Own Battle Maps!</v>
      </c>
      <c r="D28" s="1">
        <v>43508</v>
      </c>
      <c r="E28" s="1">
        <v>43508</v>
      </c>
      <c r="F28" s="1">
        <v>43523</v>
      </c>
      <c r="G28" s="18">
        <f t="shared" si="5"/>
        <v>15</v>
      </c>
      <c r="H28" s="18">
        <f t="shared" si="6"/>
        <v>2</v>
      </c>
      <c r="I28" s="18">
        <f t="shared" si="7"/>
        <v>2</v>
      </c>
      <c r="J28" s="5" t="b">
        <f t="shared" si="8"/>
        <v>1</v>
      </c>
      <c r="K28" s="28">
        <v>153</v>
      </c>
      <c r="L28" s="28">
        <f t="shared" si="0"/>
        <v>153</v>
      </c>
      <c r="M28" s="22">
        <f t="shared" si="9"/>
        <v>15</v>
      </c>
      <c r="N28" t="s">
        <v>18</v>
      </c>
      <c r="O28">
        <f>VLOOKUP(Table5[[#This Row],[currency]],Table3[],2)</f>
        <v>1.16955371</v>
      </c>
      <c r="P28" s="18">
        <v>808</v>
      </c>
      <c r="Q28" s="32">
        <f>Table5[[#This Row],[pledged]]*Table5[[#This Row],[Exchange_rate]]</f>
        <v>944.99939768000002</v>
      </c>
      <c r="R28" s="33">
        <f>ROUND(Table5[[#This Row],[Pledged_USD]],0)</f>
        <v>945</v>
      </c>
      <c r="S28" s="35">
        <v>80</v>
      </c>
      <c r="T28" s="35">
        <f>VALUE(Table5[[#This Row],[goal_USD]])</f>
        <v>80</v>
      </c>
      <c r="U28" t="s">
        <v>369</v>
      </c>
      <c r="V28" t="s">
        <v>661</v>
      </c>
      <c r="W28" t="str">
        <f t="shared" si="1"/>
        <v>Italia, Piedmont</v>
      </c>
      <c r="X28" t="s">
        <v>533</v>
      </c>
      <c r="Y28" t="str">
        <f t="shared" si="2"/>
        <v>Italy</v>
      </c>
      <c r="Z28" t="s">
        <v>38</v>
      </c>
      <c r="AA28">
        <f t="shared" si="3"/>
        <v>54</v>
      </c>
      <c r="AB28" t="str">
        <f t="shared" si="4"/>
        <v>tabletop%20games</v>
      </c>
      <c r="AC28" t="str">
        <f>SUBSTITUTE(Table5[[#This Row],[source_url_category]], "%20", " ")</f>
        <v>tabletop games</v>
      </c>
      <c r="AD28" s="2" t="b">
        <v>0</v>
      </c>
      <c r="AE28" s="2" t="str">
        <f>LOWER(Table5[[#This Row],[staff_pick]])</f>
        <v>false</v>
      </c>
      <c r="AF28" t="s">
        <v>16</v>
      </c>
      <c r="AH28" s="19">
        <v>904</v>
      </c>
      <c r="AI28" s="10"/>
    </row>
    <row r="29" spans="1:45" x14ac:dyDescent="0.2">
      <c r="A29" s="18">
        <v>328751672</v>
      </c>
      <c r="B29" t="s">
        <v>703</v>
      </c>
      <c r="C29" t="str">
        <f>CONCATENATE(Table5[[#This Row],[id]], "-", PROPER(Table5[[#This Row],[name]]))</f>
        <v>328751672-The Mana Pool For Magic The Gathering</v>
      </c>
      <c r="D29" s="1">
        <v>43512</v>
      </c>
      <c r="E29" s="1">
        <v>43521</v>
      </c>
      <c r="F29" s="1">
        <v>43551</v>
      </c>
      <c r="G29" s="18">
        <f t="shared" si="5"/>
        <v>30</v>
      </c>
      <c r="H29" s="18">
        <f t="shared" si="6"/>
        <v>1</v>
      </c>
      <c r="I29" s="18">
        <f t="shared" si="7"/>
        <v>2</v>
      </c>
      <c r="J29" s="5" t="b">
        <f t="shared" si="8"/>
        <v>0</v>
      </c>
      <c r="K29" s="29">
        <v>519</v>
      </c>
      <c r="L29" s="29">
        <f t="shared" si="0"/>
        <v>519</v>
      </c>
      <c r="M29" s="22">
        <f t="shared" si="9"/>
        <v>30</v>
      </c>
      <c r="N29" t="s">
        <v>15</v>
      </c>
      <c r="O29">
        <f>VLOOKUP(Table5[[#This Row],[currency]],Table3[],2)</f>
        <v>1</v>
      </c>
      <c r="P29" s="18">
        <v>7169</v>
      </c>
      <c r="Q29" s="32">
        <f>Table5[[#This Row],[pledged]]*Table5[[#This Row],[Exchange_rate]]</f>
        <v>7169</v>
      </c>
      <c r="R29" s="33">
        <f>ROUND(Table5[[#This Row],[Pledged_USD]],0)</f>
        <v>7169</v>
      </c>
      <c r="S29" s="35">
        <v>1000</v>
      </c>
      <c r="T29" s="35">
        <f>VALUE(Table5[[#This Row],[goal_USD]])</f>
        <v>1000</v>
      </c>
      <c r="U29" t="s">
        <v>455</v>
      </c>
      <c r="V29" t="s">
        <v>662</v>
      </c>
      <c r="W29" t="str">
        <f t="shared" si="1"/>
        <v>Kalamazoo, MI</v>
      </c>
      <c r="X29" t="s">
        <v>527</v>
      </c>
      <c r="Y29" t="str">
        <f t="shared" si="2"/>
        <v>United States</v>
      </c>
      <c r="Z29" t="s">
        <v>38</v>
      </c>
      <c r="AA29">
        <f t="shared" si="3"/>
        <v>54</v>
      </c>
      <c r="AB29" t="str">
        <f t="shared" si="4"/>
        <v>tabletop%20games</v>
      </c>
      <c r="AC29" t="str">
        <f>SUBSTITUTE(Table5[[#This Row],[source_url_category]], "%20", " ")</f>
        <v>tabletop games</v>
      </c>
      <c r="AD29" s="2" t="b">
        <v>0</v>
      </c>
      <c r="AE29" s="2" t="str">
        <f>LOWER(Table5[[#This Row],[staff_pick]])</f>
        <v>false</v>
      </c>
      <c r="AF29" t="s">
        <v>16</v>
      </c>
      <c r="AH29" s="19">
        <v>915</v>
      </c>
      <c r="AI29" s="10"/>
    </row>
    <row r="30" spans="1:45" x14ac:dyDescent="0.2">
      <c r="A30" s="18">
        <v>343166008</v>
      </c>
      <c r="B30" t="s">
        <v>225</v>
      </c>
      <c r="C30" t="str">
        <f>CONCATENATE(Table5[[#This Row],[id]], "-", PROPER(Table5[[#This Row],[name]]))</f>
        <v>343166008-Rpg Pins Show Off Your Love Of Roleplaying Games! Series 1.5</v>
      </c>
      <c r="D30" s="1">
        <v>43512</v>
      </c>
      <c r="E30" s="1">
        <v>43514</v>
      </c>
      <c r="F30" s="1">
        <v>43529</v>
      </c>
      <c r="G30" s="18">
        <f t="shared" si="5"/>
        <v>15</v>
      </c>
      <c r="H30" s="18">
        <f t="shared" si="6"/>
        <v>1</v>
      </c>
      <c r="I30" s="18">
        <f t="shared" si="7"/>
        <v>2</v>
      </c>
      <c r="J30" s="5" t="b">
        <f t="shared" si="8"/>
        <v>0</v>
      </c>
      <c r="K30" s="28">
        <v>268</v>
      </c>
      <c r="L30" s="28">
        <f t="shared" si="0"/>
        <v>268</v>
      </c>
      <c r="M30" s="22">
        <f t="shared" si="9"/>
        <v>15</v>
      </c>
      <c r="N30" t="s">
        <v>15</v>
      </c>
      <c r="O30">
        <f>VLOOKUP(Table5[[#This Row],[currency]],Table3[],2)</f>
        <v>1</v>
      </c>
      <c r="P30" s="18">
        <v>5469</v>
      </c>
      <c r="Q30" s="32">
        <f>Table5[[#This Row],[pledged]]*Table5[[#This Row],[Exchange_rate]]</f>
        <v>5469</v>
      </c>
      <c r="R30" s="33">
        <f>ROUND(Table5[[#This Row],[Pledged_USD]],0)</f>
        <v>5469</v>
      </c>
      <c r="S30" s="35">
        <v>500</v>
      </c>
      <c r="T30" s="35">
        <f>VALUE(Table5[[#This Row],[goal_USD]])</f>
        <v>500</v>
      </c>
      <c r="U30" t="s">
        <v>481</v>
      </c>
      <c r="V30" t="s">
        <v>649</v>
      </c>
      <c r="W30" t="str">
        <f t="shared" si="1"/>
        <v>Astoria, NY</v>
      </c>
      <c r="X30" t="s">
        <v>527</v>
      </c>
      <c r="Y30" t="str">
        <f t="shared" si="2"/>
        <v>United States</v>
      </c>
      <c r="Z30" t="s">
        <v>38</v>
      </c>
      <c r="AA30">
        <f t="shared" si="3"/>
        <v>54</v>
      </c>
      <c r="AB30" t="str">
        <f t="shared" si="4"/>
        <v>tabletop%20games</v>
      </c>
      <c r="AC30" t="str">
        <f>SUBSTITUTE(Table5[[#This Row],[source_url_category]], "%20", " ")</f>
        <v>tabletop games</v>
      </c>
      <c r="AD30" s="2" t="b">
        <v>1</v>
      </c>
      <c r="AE30" s="2" t="str">
        <f>LOWER(Table5[[#This Row],[staff_pick]])</f>
        <v>true</v>
      </c>
      <c r="AF30" t="s">
        <v>16</v>
      </c>
      <c r="AH30" s="19">
        <v>989</v>
      </c>
      <c r="AI30" s="10"/>
    </row>
    <row r="31" spans="1:45" x14ac:dyDescent="0.2">
      <c r="A31" s="18">
        <v>375484295</v>
      </c>
      <c r="B31" t="s">
        <v>168</v>
      </c>
      <c r="C31" t="str">
        <f>CONCATENATE(Table5[[#This Row],[id]], "-", PROPER(Table5[[#This Row],[name]]))</f>
        <v>375484295-Way Of The Samurai</v>
      </c>
      <c r="D31" s="1">
        <v>43515</v>
      </c>
      <c r="E31" s="1">
        <v>43536</v>
      </c>
      <c r="F31" s="1">
        <v>43566</v>
      </c>
      <c r="G31" s="18">
        <f t="shared" si="5"/>
        <v>30</v>
      </c>
      <c r="H31" s="18">
        <f t="shared" si="6"/>
        <v>2</v>
      </c>
      <c r="I31" s="18">
        <f t="shared" si="7"/>
        <v>3</v>
      </c>
      <c r="J31" s="5" t="b">
        <f t="shared" si="8"/>
        <v>0</v>
      </c>
      <c r="K31" s="29">
        <v>479</v>
      </c>
      <c r="L31" s="29">
        <f t="shared" si="0"/>
        <v>479</v>
      </c>
      <c r="M31" s="22">
        <f t="shared" si="9"/>
        <v>30</v>
      </c>
      <c r="N31" t="s">
        <v>19</v>
      </c>
      <c r="O31">
        <f>VLOOKUP(Table5[[#This Row],[currency]],Table3[],2)</f>
        <v>1.49576325</v>
      </c>
      <c r="P31" s="18">
        <v>16854</v>
      </c>
      <c r="Q31" s="32">
        <f>Table5[[#This Row],[pledged]]*Table5[[#This Row],[Exchange_rate]]</f>
        <v>25209.5938155</v>
      </c>
      <c r="R31" s="33">
        <f>ROUND(Table5[[#This Row],[Pledged_USD]],0)</f>
        <v>25210</v>
      </c>
      <c r="S31" s="35">
        <v>8500</v>
      </c>
      <c r="T31" s="35">
        <f>VALUE(Table5[[#This Row],[goal_USD]])</f>
        <v>8500</v>
      </c>
      <c r="U31" t="s">
        <v>466</v>
      </c>
      <c r="V31" t="s">
        <v>650</v>
      </c>
      <c r="W31" t="str">
        <f t="shared" si="1"/>
        <v>Reading, England</v>
      </c>
      <c r="X31" t="s">
        <v>526</v>
      </c>
      <c r="Y31" t="str">
        <f t="shared" si="2"/>
        <v>United Kingdom</v>
      </c>
      <c r="Z31" t="s">
        <v>107</v>
      </c>
      <c r="AA31">
        <f t="shared" si="3"/>
        <v>54</v>
      </c>
      <c r="AB31" t="str">
        <f t="shared" si="4"/>
        <v>playing%20cards</v>
      </c>
      <c r="AC31" t="str">
        <f>SUBSTITUTE(Table5[[#This Row],[source_url_category]], "%20", " ")</f>
        <v>playing cards</v>
      </c>
      <c r="AD31" s="2" t="b">
        <v>0</v>
      </c>
      <c r="AE31" s="2" t="str">
        <f>LOWER(Table5[[#This Row],[staff_pick]])</f>
        <v>false</v>
      </c>
      <c r="AF31" t="s">
        <v>16</v>
      </c>
      <c r="AH31" s="19">
        <v>1004</v>
      </c>
      <c r="AI31" s="10"/>
    </row>
    <row r="32" spans="1:45" x14ac:dyDescent="0.2">
      <c r="A32" s="18">
        <v>375970229</v>
      </c>
      <c r="B32" t="s">
        <v>216</v>
      </c>
      <c r="C32" t="str">
        <f>CONCATENATE(Table5[[#This Row],[id]], "-", PROPER(Table5[[#This Row],[name]]))</f>
        <v>375970229-Budzzles...It'S A Bud, It'S A Puzzle, It'S A Budzzle!</v>
      </c>
      <c r="D32" s="1">
        <v>43515</v>
      </c>
      <c r="E32" s="1">
        <v>43598</v>
      </c>
      <c r="F32" s="1">
        <v>43628</v>
      </c>
      <c r="G32" s="18">
        <f t="shared" si="5"/>
        <v>30</v>
      </c>
      <c r="H32" s="18">
        <f t="shared" si="6"/>
        <v>1</v>
      </c>
      <c r="I32" s="18">
        <f t="shared" si="7"/>
        <v>5</v>
      </c>
      <c r="J32" s="5" t="b">
        <f t="shared" si="8"/>
        <v>0</v>
      </c>
      <c r="K32" s="28">
        <v>282</v>
      </c>
      <c r="L32" s="28">
        <f t="shared" si="0"/>
        <v>282</v>
      </c>
      <c r="M32" s="22">
        <f t="shared" si="9"/>
        <v>30</v>
      </c>
      <c r="N32" t="s">
        <v>19</v>
      </c>
      <c r="O32">
        <f>VLOOKUP(Table5[[#This Row],[currency]],Table3[],2)</f>
        <v>1.49576325</v>
      </c>
      <c r="P32" s="18">
        <v>18800</v>
      </c>
      <c r="Q32" s="32">
        <f>Table5[[#This Row],[pledged]]*Table5[[#This Row],[Exchange_rate]]</f>
        <v>28120.349099999999</v>
      </c>
      <c r="R32" s="33">
        <f>ROUND(Table5[[#This Row],[Pledged_USD]],0)</f>
        <v>28120</v>
      </c>
      <c r="S32" s="35">
        <v>15000</v>
      </c>
      <c r="T32" s="35">
        <f>VALUE(Table5[[#This Row],[goal_USD]])</f>
        <v>15000</v>
      </c>
      <c r="U32" t="s">
        <v>344</v>
      </c>
      <c r="V32" t="s">
        <v>650</v>
      </c>
      <c r="W32" t="str">
        <f t="shared" si="1"/>
        <v>London, England</v>
      </c>
      <c r="X32" t="s">
        <v>526</v>
      </c>
      <c r="Y32" t="str">
        <f t="shared" si="2"/>
        <v>United Kingdom</v>
      </c>
      <c r="Z32" t="s">
        <v>38</v>
      </c>
      <c r="AA32">
        <f t="shared" si="3"/>
        <v>54</v>
      </c>
      <c r="AB32" t="str">
        <f t="shared" si="4"/>
        <v>tabletop%20games</v>
      </c>
      <c r="AC32" t="str">
        <f>SUBSTITUTE(Table5[[#This Row],[source_url_category]], "%20", " ")</f>
        <v>tabletop games</v>
      </c>
      <c r="AD32" s="2" t="b">
        <v>0</v>
      </c>
      <c r="AE32" s="2" t="str">
        <f>LOWER(Table5[[#This Row],[staff_pick]])</f>
        <v>false</v>
      </c>
      <c r="AF32" t="s">
        <v>16</v>
      </c>
      <c r="AH32" s="19">
        <v>1057</v>
      </c>
      <c r="AI32" s="10"/>
    </row>
    <row r="33" spans="1:35" x14ac:dyDescent="0.2">
      <c r="A33" s="18">
        <v>376043872</v>
      </c>
      <c r="B33" t="s">
        <v>234</v>
      </c>
      <c r="C33" t="str">
        <f>CONCATENATE(Table5[[#This Row],[id]], "-", PROPER(Table5[[#This Row],[name]]))</f>
        <v>376043872-Fief: The Lords Miniatures! Ks Exclusive!</v>
      </c>
      <c r="D33" s="1">
        <v>43515</v>
      </c>
      <c r="E33" s="1">
        <v>43524</v>
      </c>
      <c r="F33" s="1">
        <v>43539</v>
      </c>
      <c r="G33" s="18">
        <f t="shared" si="5"/>
        <v>15</v>
      </c>
      <c r="H33" s="18">
        <f t="shared" si="6"/>
        <v>4</v>
      </c>
      <c r="I33" s="18">
        <f t="shared" si="7"/>
        <v>2</v>
      </c>
      <c r="J33" s="5" t="b">
        <f t="shared" si="8"/>
        <v>0</v>
      </c>
      <c r="K33" s="29">
        <v>125</v>
      </c>
      <c r="L33" s="29">
        <f t="shared" si="0"/>
        <v>125</v>
      </c>
      <c r="M33" s="22">
        <f t="shared" si="9"/>
        <v>15</v>
      </c>
      <c r="N33" t="s">
        <v>15</v>
      </c>
      <c r="O33">
        <f>VLOOKUP(Table5[[#This Row],[currency]],Table3[],2)</f>
        <v>1</v>
      </c>
      <c r="P33" s="18">
        <v>1731</v>
      </c>
      <c r="Q33" s="32">
        <f>Table5[[#This Row],[pledged]]*Table5[[#This Row],[Exchange_rate]]</f>
        <v>1731</v>
      </c>
      <c r="R33" s="33">
        <f>ROUND(Table5[[#This Row],[Pledged_USD]],0)</f>
        <v>1731</v>
      </c>
      <c r="S33" s="35">
        <v>500</v>
      </c>
      <c r="T33" s="35">
        <f>VALUE(Table5[[#This Row],[goal_USD]])</f>
        <v>500</v>
      </c>
      <c r="U33" t="s">
        <v>355</v>
      </c>
      <c r="V33" t="s">
        <v>663</v>
      </c>
      <c r="W33" t="str">
        <f t="shared" si="1"/>
        <v>Chicago, IL</v>
      </c>
      <c r="X33" t="s">
        <v>527</v>
      </c>
      <c r="Y33" t="str">
        <f t="shared" si="2"/>
        <v>United States</v>
      </c>
      <c r="Z33" t="s">
        <v>38</v>
      </c>
      <c r="AA33">
        <f t="shared" si="3"/>
        <v>54</v>
      </c>
      <c r="AB33" t="str">
        <f t="shared" si="4"/>
        <v>tabletop%20games</v>
      </c>
      <c r="AC33" t="str">
        <f>SUBSTITUTE(Table5[[#This Row],[source_url_category]], "%20", " ")</f>
        <v>tabletop games</v>
      </c>
      <c r="AD33" s="2" t="b">
        <v>0</v>
      </c>
      <c r="AE33" s="2" t="str">
        <f>LOWER(Table5[[#This Row],[staff_pick]])</f>
        <v>false</v>
      </c>
      <c r="AF33" t="s">
        <v>16</v>
      </c>
      <c r="AH33" s="19">
        <v>1154</v>
      </c>
      <c r="AI33" s="10"/>
    </row>
    <row r="34" spans="1:35" x14ac:dyDescent="0.2">
      <c r="A34" s="18">
        <v>376134156</v>
      </c>
      <c r="B34" t="s">
        <v>239</v>
      </c>
      <c r="C34" t="str">
        <f>CONCATENATE(Table5[[#This Row],[id]], "-", PROPER(Table5[[#This Row],[name]]))</f>
        <v>376134156-Warbands Of The Dark Beyond</v>
      </c>
      <c r="D34" s="1">
        <v>43518</v>
      </c>
      <c r="E34" s="1">
        <v>43578</v>
      </c>
      <c r="F34" s="1">
        <v>43614</v>
      </c>
      <c r="G34" s="18">
        <f t="shared" si="5"/>
        <v>36</v>
      </c>
      <c r="H34" s="18">
        <f t="shared" si="6"/>
        <v>2</v>
      </c>
      <c r="I34" s="18">
        <f t="shared" si="7"/>
        <v>4</v>
      </c>
      <c r="J34" s="5" t="b">
        <f t="shared" si="8"/>
        <v>0</v>
      </c>
      <c r="K34" s="28">
        <v>710</v>
      </c>
      <c r="L34" s="28">
        <f t="shared" ref="L34:L65" si="13">IF(OR(I34=1,I34=9), IF(AND(U34="Vancouver", Y34= "Canada"),K34+5, K34), K34)</f>
        <v>710</v>
      </c>
      <c r="M34" s="22">
        <f t="shared" si="9"/>
        <v>36</v>
      </c>
      <c r="N34" t="s">
        <v>22</v>
      </c>
      <c r="O34">
        <f>VLOOKUP(Table5[[#This Row],[currency]],Table3[],2)</f>
        <v>0.76932900999999998</v>
      </c>
      <c r="P34" s="18">
        <v>46303.29</v>
      </c>
      <c r="Q34" s="32">
        <f>Table5[[#This Row],[pledged]]*Table5[[#This Row],[Exchange_rate]]</f>
        <v>35622.464255442901</v>
      </c>
      <c r="R34" s="33">
        <f>ROUND(Table5[[#This Row],[Pledged_USD]],0)</f>
        <v>35622</v>
      </c>
      <c r="S34" s="35">
        <v>27000</v>
      </c>
      <c r="T34" s="35">
        <f>VALUE(Table5[[#This Row],[goal_USD]])</f>
        <v>27000</v>
      </c>
      <c r="U34" t="s">
        <v>360</v>
      </c>
      <c r="V34" t="s">
        <v>664</v>
      </c>
      <c r="W34" t="str">
        <f t="shared" ref="W34:W65" si="14">CONCATENATE(U34, ", ", V34)</f>
        <v>Vancouver, BC</v>
      </c>
      <c r="X34" t="s">
        <v>532</v>
      </c>
      <c r="Y34" t="str">
        <f t="shared" ref="Y34:Y65" si="15">TRIM(X34)</f>
        <v>Canada</v>
      </c>
      <c r="Z34" t="s">
        <v>38</v>
      </c>
      <c r="AA34">
        <f t="shared" ref="AA34:AA65" si="16">LEN("https://www.kickstarter.com/discover/categories/games/")</f>
        <v>54</v>
      </c>
      <c r="AB34" t="str">
        <f t="shared" ref="AB34:AB65" si="17">RIGHT(Z34,LEN(Z34)-54)</f>
        <v>tabletop%20games</v>
      </c>
      <c r="AC34" t="str">
        <f>SUBSTITUTE(Table5[[#This Row],[source_url_category]], "%20", " ")</f>
        <v>tabletop games</v>
      </c>
      <c r="AD34" s="2" t="b">
        <v>0</v>
      </c>
      <c r="AE34" s="2" t="str">
        <f>LOWER(Table5[[#This Row],[staff_pick]])</f>
        <v>false</v>
      </c>
      <c r="AF34" t="s">
        <v>16</v>
      </c>
      <c r="AH34" s="19">
        <v>1232</v>
      </c>
      <c r="AI34" s="10"/>
    </row>
    <row r="35" spans="1:35" x14ac:dyDescent="0.2">
      <c r="A35" s="18">
        <v>378511446</v>
      </c>
      <c r="B35" t="s">
        <v>141</v>
      </c>
      <c r="C35" t="str">
        <f>CONCATENATE(Table5[[#This Row],[id]], "-", PROPER(Table5[[#This Row],[name]]))</f>
        <v>378511446-Sensory White Playing Cards By Lunzi</v>
      </c>
      <c r="D35" s="1">
        <v>43520</v>
      </c>
      <c r="E35" s="1">
        <v>43525</v>
      </c>
      <c r="F35" s="1">
        <v>43585</v>
      </c>
      <c r="G35" s="18">
        <f t="shared" si="5"/>
        <v>60</v>
      </c>
      <c r="H35" s="18">
        <f t="shared" si="6"/>
        <v>5</v>
      </c>
      <c r="I35" s="18">
        <f t="shared" si="7"/>
        <v>3</v>
      </c>
      <c r="J35" s="5" t="b">
        <f t="shared" si="8"/>
        <v>0</v>
      </c>
      <c r="K35" s="29">
        <v>4</v>
      </c>
      <c r="L35" s="29">
        <f t="shared" si="13"/>
        <v>4</v>
      </c>
      <c r="M35" s="22">
        <f t="shared" si="9"/>
        <v>60</v>
      </c>
      <c r="N35" t="s">
        <v>18</v>
      </c>
      <c r="O35">
        <f>VLOOKUP(Table5[[#This Row],[currency]],Table3[],2)</f>
        <v>1.16955371</v>
      </c>
      <c r="P35" s="18">
        <v>4</v>
      </c>
      <c r="Q35" s="32">
        <f>Table5[[#This Row],[pledged]]*Table5[[#This Row],[Exchange_rate]]</f>
        <v>4.6782148399999999</v>
      </c>
      <c r="R35" s="33">
        <f>ROUND(Table5[[#This Row],[Pledged_USD]],0)</f>
        <v>5</v>
      </c>
      <c r="S35" s="35">
        <v>7000</v>
      </c>
      <c r="T35" s="35">
        <f>VALUE(Table5[[#This Row],[goal_USD]])</f>
        <v>7000</v>
      </c>
      <c r="U35" t="s">
        <v>346</v>
      </c>
      <c r="V35" t="s">
        <v>656</v>
      </c>
      <c r="W35" t="str">
        <f t="shared" si="14"/>
        <v>Paris, Ile-de-France</v>
      </c>
      <c r="X35" t="s">
        <v>530</v>
      </c>
      <c r="Y35" t="str">
        <f t="shared" si="15"/>
        <v>France</v>
      </c>
      <c r="Z35" t="s">
        <v>106</v>
      </c>
      <c r="AA35">
        <f t="shared" si="16"/>
        <v>54</v>
      </c>
      <c r="AB35" t="str">
        <f t="shared" si="17"/>
        <v>mobile%20games</v>
      </c>
      <c r="AC35" t="str">
        <f>SUBSTITUTE(Table5[[#This Row],[source_url_category]], "%20", " ")</f>
        <v>mobile games</v>
      </c>
      <c r="AD35" s="2" t="b">
        <v>0</v>
      </c>
      <c r="AE35" s="2" t="str">
        <f>LOWER(Table5[[#This Row],[staff_pick]])</f>
        <v>false</v>
      </c>
      <c r="AF35" t="s">
        <v>17</v>
      </c>
      <c r="AH35" s="19">
        <v>1275</v>
      </c>
      <c r="AI35" s="10"/>
    </row>
    <row r="36" spans="1:35" x14ac:dyDescent="0.2">
      <c r="A36" s="18">
        <v>379865899</v>
      </c>
      <c r="B36" t="s">
        <v>65</v>
      </c>
      <c r="C36" t="str">
        <f>CONCATENATE(Table5[[#This Row],[id]], "-", PROPER(Table5[[#This Row],[name]]))</f>
        <v>379865899-Tremor</v>
      </c>
      <c r="D36" s="1">
        <v>43520</v>
      </c>
      <c r="E36" s="1">
        <v>43528</v>
      </c>
      <c r="F36" s="1">
        <v>43556</v>
      </c>
      <c r="G36" s="18">
        <f t="shared" si="5"/>
        <v>28</v>
      </c>
      <c r="H36" s="18">
        <f t="shared" si="6"/>
        <v>1</v>
      </c>
      <c r="I36" s="18">
        <f t="shared" si="7"/>
        <v>3</v>
      </c>
      <c r="J36" s="5" t="b">
        <f t="shared" si="8"/>
        <v>0</v>
      </c>
      <c r="K36" s="28">
        <v>44</v>
      </c>
      <c r="L36" s="28">
        <f t="shared" si="13"/>
        <v>44</v>
      </c>
      <c r="M36" s="22">
        <f t="shared" si="9"/>
        <v>28</v>
      </c>
      <c r="N36" t="s">
        <v>15</v>
      </c>
      <c r="O36">
        <f>VLOOKUP(Table5[[#This Row],[currency]],Table3[],2)</f>
        <v>1</v>
      </c>
      <c r="P36" s="18">
        <v>2060</v>
      </c>
      <c r="Q36" s="32">
        <f>Table5[[#This Row],[pledged]]*Table5[[#This Row],[Exchange_rate]]</f>
        <v>2060</v>
      </c>
      <c r="R36" s="33">
        <f>ROUND(Table5[[#This Row],[Pledged_USD]],0)</f>
        <v>2060</v>
      </c>
      <c r="S36" s="35">
        <v>1500</v>
      </c>
      <c r="T36" s="35">
        <f>VALUE(Table5[[#This Row],[goal_USD]])</f>
        <v>1500</v>
      </c>
      <c r="U36" t="s">
        <v>447</v>
      </c>
      <c r="V36" t="s">
        <v>23</v>
      </c>
      <c r="W36" t="str">
        <f t="shared" si="14"/>
        <v>Fremont, CA</v>
      </c>
      <c r="X36" t="s">
        <v>527</v>
      </c>
      <c r="Y36" t="str">
        <f t="shared" si="15"/>
        <v>United States</v>
      </c>
      <c r="Z36" t="s">
        <v>38</v>
      </c>
      <c r="AA36">
        <f t="shared" si="16"/>
        <v>54</v>
      </c>
      <c r="AB36" t="str">
        <f t="shared" si="17"/>
        <v>tabletop%20games</v>
      </c>
      <c r="AC36" t="str">
        <f>SUBSTITUTE(Table5[[#This Row],[source_url_category]], "%20", " ")</f>
        <v>tabletop games</v>
      </c>
      <c r="AD36" s="2" t="b">
        <v>0</v>
      </c>
      <c r="AE36" s="2" t="str">
        <f>LOWER(Table5[[#This Row],[staff_pick]])</f>
        <v>false</v>
      </c>
      <c r="AF36" t="s">
        <v>16</v>
      </c>
      <c r="AH36" s="19">
        <v>1364</v>
      </c>
      <c r="AI36" s="10"/>
    </row>
    <row r="37" spans="1:35" x14ac:dyDescent="0.2">
      <c r="A37" s="18">
        <v>397149344</v>
      </c>
      <c r="B37" t="s">
        <v>78</v>
      </c>
      <c r="C37" t="str">
        <f>CONCATENATE(Table5[[#This Row],[id]], "-", PROPER(Table5[[#This Row],[name]]))</f>
        <v>397149344-Bellum Sacrum Card Game</v>
      </c>
      <c r="D37" s="1">
        <v>43522</v>
      </c>
      <c r="E37" s="1">
        <v>43543</v>
      </c>
      <c r="F37" s="1">
        <v>43563</v>
      </c>
      <c r="G37" s="18">
        <f t="shared" si="5"/>
        <v>20</v>
      </c>
      <c r="H37" s="18">
        <f t="shared" si="6"/>
        <v>2</v>
      </c>
      <c r="I37" s="18">
        <f t="shared" si="7"/>
        <v>3</v>
      </c>
      <c r="J37" s="5" t="b">
        <f t="shared" si="8"/>
        <v>0</v>
      </c>
      <c r="K37" s="29">
        <v>473</v>
      </c>
      <c r="L37" s="29">
        <f t="shared" si="13"/>
        <v>473</v>
      </c>
      <c r="M37" s="22">
        <f t="shared" si="9"/>
        <v>20</v>
      </c>
      <c r="N37" t="s">
        <v>15</v>
      </c>
      <c r="O37">
        <f>VLOOKUP(Table5[[#This Row],[currency]],Table3[],2)</f>
        <v>1</v>
      </c>
      <c r="P37" s="18">
        <v>34332.5</v>
      </c>
      <c r="Q37" s="32">
        <f>Table5[[#This Row],[pledged]]*Table5[[#This Row],[Exchange_rate]]</f>
        <v>34332.5</v>
      </c>
      <c r="R37" s="33">
        <f>ROUND(Table5[[#This Row],[Pledged_USD]],0)</f>
        <v>34333</v>
      </c>
      <c r="S37" s="35">
        <v>28000</v>
      </c>
      <c r="T37" s="35">
        <f>VALUE(Table5[[#This Row],[goal_USD]])</f>
        <v>28000</v>
      </c>
      <c r="U37" t="s">
        <v>361</v>
      </c>
      <c r="V37" t="s">
        <v>666</v>
      </c>
      <c r="W37" t="str">
        <f t="shared" si="14"/>
        <v>Denver, CO</v>
      </c>
      <c r="X37" t="s">
        <v>527</v>
      </c>
      <c r="Y37" t="str">
        <f t="shared" si="15"/>
        <v>United States</v>
      </c>
      <c r="Z37" t="s">
        <v>38</v>
      </c>
      <c r="AA37">
        <f t="shared" si="16"/>
        <v>54</v>
      </c>
      <c r="AB37" t="str">
        <f t="shared" si="17"/>
        <v>tabletop%20games</v>
      </c>
      <c r="AC37" t="str">
        <f>SUBSTITUTE(Table5[[#This Row],[source_url_category]], "%20", " ")</f>
        <v>tabletop games</v>
      </c>
      <c r="AD37" s="2" t="b">
        <v>0</v>
      </c>
      <c r="AE37" s="2" t="str">
        <f>LOWER(Table5[[#This Row],[staff_pick]])</f>
        <v>false</v>
      </c>
      <c r="AF37" t="s">
        <v>16</v>
      </c>
      <c r="AH37" s="19">
        <v>1411</v>
      </c>
      <c r="AI37" s="10"/>
    </row>
    <row r="38" spans="1:35" x14ac:dyDescent="0.2">
      <c r="A38" s="18">
        <v>414028537</v>
      </c>
      <c r="B38" t="s">
        <v>143</v>
      </c>
      <c r="C38" t="str">
        <f>CONCATENATE(Table5[[#This Row],[id]], "-", PROPER(Table5[[#This Row],[name]]))</f>
        <v>414028537-Aether Studios - Swamp Of Sorrows</v>
      </c>
      <c r="D38" s="1">
        <v>43523</v>
      </c>
      <c r="E38" s="1">
        <v>43536</v>
      </c>
      <c r="F38" s="1">
        <v>43544</v>
      </c>
      <c r="G38" s="18">
        <f t="shared" si="5"/>
        <v>8</v>
      </c>
      <c r="H38" s="18">
        <f t="shared" si="6"/>
        <v>2</v>
      </c>
      <c r="I38" s="18">
        <f t="shared" si="7"/>
        <v>3</v>
      </c>
      <c r="J38" s="5" t="b">
        <f t="shared" si="8"/>
        <v>0</v>
      </c>
      <c r="K38" s="28">
        <v>344</v>
      </c>
      <c r="L38" s="28">
        <f t="shared" si="13"/>
        <v>344</v>
      </c>
      <c r="M38" s="22">
        <f t="shared" si="9"/>
        <v>8</v>
      </c>
      <c r="N38" t="s">
        <v>15</v>
      </c>
      <c r="O38">
        <f>VLOOKUP(Table5[[#This Row],[currency]],Table3[],2)</f>
        <v>1</v>
      </c>
      <c r="P38" s="18">
        <v>6372</v>
      </c>
      <c r="Q38" s="32">
        <f>Table5[[#This Row],[pledged]]*Table5[[#This Row],[Exchange_rate]]</f>
        <v>6372</v>
      </c>
      <c r="R38" s="33">
        <f>ROUND(Table5[[#This Row],[Pledged_USD]],0)</f>
        <v>6372</v>
      </c>
      <c r="S38" s="35">
        <v>1000</v>
      </c>
      <c r="T38" s="35">
        <f>VALUE(Table5[[#This Row],[goal_USD]])</f>
        <v>1000</v>
      </c>
      <c r="U38" t="s">
        <v>454</v>
      </c>
      <c r="V38" t="s">
        <v>667</v>
      </c>
      <c r="W38" t="str">
        <f t="shared" si="14"/>
        <v>Ogden, UT</v>
      </c>
      <c r="X38" t="s">
        <v>527</v>
      </c>
      <c r="Y38" t="str">
        <f t="shared" si="15"/>
        <v>United States</v>
      </c>
      <c r="Z38" t="s">
        <v>38</v>
      </c>
      <c r="AA38">
        <f t="shared" si="16"/>
        <v>54</v>
      </c>
      <c r="AB38" t="str">
        <f t="shared" si="17"/>
        <v>tabletop%20games</v>
      </c>
      <c r="AC38" t="str">
        <f>SUBSTITUTE(Table5[[#This Row],[source_url_category]], "%20", " ")</f>
        <v>tabletop games</v>
      </c>
      <c r="AD38" s="2" t="b">
        <v>0</v>
      </c>
      <c r="AE38" s="2" t="str">
        <f>LOWER(Table5[[#This Row],[staff_pick]])</f>
        <v>false</v>
      </c>
      <c r="AF38" t="s">
        <v>16</v>
      </c>
      <c r="AH38" s="19">
        <v>1416</v>
      </c>
      <c r="AI38" s="10"/>
    </row>
    <row r="39" spans="1:35" x14ac:dyDescent="0.2">
      <c r="A39" s="18">
        <v>433917839</v>
      </c>
      <c r="B39" t="s">
        <v>226</v>
      </c>
      <c r="C39" t="str">
        <f>CONCATENATE(Table5[[#This Row],[id]], "-", PROPER(Table5[[#This Row],[name]]))</f>
        <v>433917839-Dark Streets &amp; Darker Secrets</v>
      </c>
      <c r="D39" s="1">
        <v>43528</v>
      </c>
      <c r="E39" s="1">
        <v>43536</v>
      </c>
      <c r="F39" s="1">
        <v>43552</v>
      </c>
      <c r="G39" s="18">
        <f t="shared" si="5"/>
        <v>16</v>
      </c>
      <c r="H39" s="18">
        <f t="shared" si="6"/>
        <v>2</v>
      </c>
      <c r="I39" s="18">
        <f t="shared" si="7"/>
        <v>3</v>
      </c>
      <c r="J39" s="5" t="b">
        <f t="shared" si="8"/>
        <v>0</v>
      </c>
      <c r="K39" s="29">
        <v>212</v>
      </c>
      <c r="L39" s="29">
        <f t="shared" si="13"/>
        <v>212</v>
      </c>
      <c r="M39" s="22">
        <f t="shared" si="9"/>
        <v>16</v>
      </c>
      <c r="N39" t="s">
        <v>15</v>
      </c>
      <c r="O39">
        <f>VLOOKUP(Table5[[#This Row],[currency]],Table3[],2)</f>
        <v>1</v>
      </c>
      <c r="P39" s="18">
        <v>17396</v>
      </c>
      <c r="Q39" s="32">
        <f>Table5[[#This Row],[pledged]]*Table5[[#This Row],[Exchange_rate]]</f>
        <v>17396</v>
      </c>
      <c r="R39" s="33">
        <f>ROUND(Table5[[#This Row],[Pledged_USD]],0)</f>
        <v>17396</v>
      </c>
      <c r="S39" s="35">
        <v>10000</v>
      </c>
      <c r="T39" s="35">
        <f>VALUE(Table5[[#This Row],[goal_USD]])</f>
        <v>10000</v>
      </c>
      <c r="U39" t="s">
        <v>400</v>
      </c>
      <c r="V39" t="s">
        <v>648</v>
      </c>
      <c r="W39" t="str">
        <f t="shared" si="14"/>
        <v>Virginia Beach, VA</v>
      </c>
      <c r="X39" t="s">
        <v>527</v>
      </c>
      <c r="Y39" t="str">
        <f t="shared" si="15"/>
        <v>United States</v>
      </c>
      <c r="Z39" t="s">
        <v>38</v>
      </c>
      <c r="AA39">
        <f t="shared" si="16"/>
        <v>54</v>
      </c>
      <c r="AB39" t="str">
        <f t="shared" si="17"/>
        <v>tabletop%20games</v>
      </c>
      <c r="AC39" t="str">
        <f>SUBSTITUTE(Table5[[#This Row],[source_url_category]], "%20", " ")</f>
        <v>tabletop games</v>
      </c>
      <c r="AD39" s="2" t="b">
        <v>0</v>
      </c>
      <c r="AE39" s="2" t="str">
        <f>LOWER(Table5[[#This Row],[staff_pick]])</f>
        <v>false</v>
      </c>
      <c r="AF39" t="s">
        <v>16</v>
      </c>
      <c r="AH39" s="19">
        <v>1427.29</v>
      </c>
      <c r="AI39" s="10"/>
    </row>
    <row r="40" spans="1:35" x14ac:dyDescent="0.2">
      <c r="A40" s="18">
        <v>434016760</v>
      </c>
      <c r="B40" t="s">
        <v>268</v>
      </c>
      <c r="C40" t="str">
        <f>CONCATENATE(Table5[[#This Row],[id]], "-", PROPER(Table5[[#This Row],[name]]))</f>
        <v>434016760-Sovereign Skies</v>
      </c>
      <c r="D40" s="1">
        <v>43530</v>
      </c>
      <c r="E40" s="1">
        <v>43545</v>
      </c>
      <c r="F40" s="1">
        <v>43575</v>
      </c>
      <c r="G40" s="18">
        <f t="shared" si="5"/>
        <v>30</v>
      </c>
      <c r="H40" s="18">
        <f t="shared" si="6"/>
        <v>4</v>
      </c>
      <c r="I40" s="18">
        <f t="shared" si="7"/>
        <v>3</v>
      </c>
      <c r="J40" s="5" t="b">
        <f t="shared" si="8"/>
        <v>0</v>
      </c>
      <c r="K40" s="28">
        <v>80</v>
      </c>
      <c r="L40" s="28">
        <f t="shared" si="13"/>
        <v>80</v>
      </c>
      <c r="M40" s="22">
        <f t="shared" si="9"/>
        <v>30</v>
      </c>
      <c r="N40" t="s">
        <v>15</v>
      </c>
      <c r="O40">
        <f>VLOOKUP(Table5[[#This Row],[currency]],Table3[],2)</f>
        <v>1</v>
      </c>
      <c r="P40" s="18">
        <v>5815</v>
      </c>
      <c r="Q40" s="32">
        <f>Table5[[#This Row],[pledged]]*Table5[[#This Row],[Exchange_rate]]</f>
        <v>5815</v>
      </c>
      <c r="R40" s="33">
        <f>ROUND(Table5[[#This Row],[Pledged_USD]],0)</f>
        <v>5815</v>
      </c>
      <c r="S40" s="35">
        <v>5550</v>
      </c>
      <c r="T40" s="35">
        <f>VALUE(Table5[[#This Row],[goal_USD]])</f>
        <v>5550</v>
      </c>
      <c r="U40" t="s">
        <v>483</v>
      </c>
      <c r="V40" t="s">
        <v>665</v>
      </c>
      <c r="W40" t="str">
        <f t="shared" si="14"/>
        <v>Kissimmee, FL</v>
      </c>
      <c r="X40" t="s">
        <v>527</v>
      </c>
      <c r="Y40" t="str">
        <f t="shared" si="15"/>
        <v>United States</v>
      </c>
      <c r="Z40" t="s">
        <v>107</v>
      </c>
      <c r="AA40">
        <f t="shared" si="16"/>
        <v>54</v>
      </c>
      <c r="AB40" t="str">
        <f t="shared" si="17"/>
        <v>playing%20cards</v>
      </c>
      <c r="AC40" t="str">
        <f>SUBSTITUTE(Table5[[#This Row],[source_url_category]], "%20", " ")</f>
        <v>playing cards</v>
      </c>
      <c r="AD40" s="2" t="b">
        <v>0</v>
      </c>
      <c r="AE40" s="2" t="str">
        <f>LOWER(Table5[[#This Row],[staff_pick]])</f>
        <v>false</v>
      </c>
      <c r="AF40" t="s">
        <v>16</v>
      </c>
      <c r="AH40" s="19">
        <v>1489</v>
      </c>
      <c r="AI40" s="10"/>
    </row>
    <row r="41" spans="1:35" x14ac:dyDescent="0.2">
      <c r="A41" s="18">
        <v>446366581</v>
      </c>
      <c r="B41" t="s">
        <v>67</v>
      </c>
      <c r="C41" t="str">
        <f>CONCATENATE(Table5[[#This Row],[id]], "-", PROPER(Table5[[#This Row],[name]]))</f>
        <v>446366581-Doublehead Kids</v>
      </c>
      <c r="D41" s="1">
        <v>43533</v>
      </c>
      <c r="E41" s="1">
        <v>43556</v>
      </c>
      <c r="F41" s="1">
        <v>43585</v>
      </c>
      <c r="G41" s="18">
        <f t="shared" si="5"/>
        <v>29</v>
      </c>
      <c r="H41" s="18">
        <f t="shared" si="6"/>
        <v>1</v>
      </c>
      <c r="I41" s="18">
        <f t="shared" si="7"/>
        <v>4</v>
      </c>
      <c r="J41" s="5" t="b">
        <f t="shared" si="8"/>
        <v>0</v>
      </c>
      <c r="K41" s="29">
        <v>1430</v>
      </c>
      <c r="L41" s="29">
        <f t="shared" si="13"/>
        <v>1430</v>
      </c>
      <c r="M41" s="22">
        <f t="shared" si="9"/>
        <v>29</v>
      </c>
      <c r="N41" t="s">
        <v>15</v>
      </c>
      <c r="O41">
        <f>VLOOKUP(Table5[[#This Row],[currency]],Table3[],2)</f>
        <v>1</v>
      </c>
      <c r="P41" s="18">
        <v>40642</v>
      </c>
      <c r="Q41" s="32">
        <f>Table5[[#This Row],[pledged]]*Table5[[#This Row],[Exchange_rate]]</f>
        <v>40642</v>
      </c>
      <c r="R41" s="33">
        <f>ROUND(Table5[[#This Row],[Pledged_USD]],0)</f>
        <v>40642</v>
      </c>
      <c r="S41" s="35">
        <v>4200</v>
      </c>
      <c r="T41" s="35">
        <f>VALUE(Table5[[#This Row],[goal_USD]])</f>
        <v>4200</v>
      </c>
      <c r="U41" t="s">
        <v>342</v>
      </c>
      <c r="V41" t="s">
        <v>668</v>
      </c>
      <c r="W41" t="str">
        <f t="shared" si="14"/>
        <v>San Antonio, TX</v>
      </c>
      <c r="X41" t="s">
        <v>527</v>
      </c>
      <c r="Y41" t="str">
        <f t="shared" si="15"/>
        <v>United States</v>
      </c>
      <c r="Z41" t="s">
        <v>38</v>
      </c>
      <c r="AA41">
        <f t="shared" si="16"/>
        <v>54</v>
      </c>
      <c r="AB41" t="str">
        <f t="shared" si="17"/>
        <v>tabletop%20games</v>
      </c>
      <c r="AC41" t="str">
        <f>SUBSTITUTE(Table5[[#This Row],[source_url_category]], "%20", " ")</f>
        <v>tabletop games</v>
      </c>
      <c r="AD41" s="2" t="b">
        <v>1</v>
      </c>
      <c r="AE41" s="2" t="str">
        <f>LOWER(Table5[[#This Row],[staff_pick]])</f>
        <v>true</v>
      </c>
      <c r="AF41" t="s">
        <v>16</v>
      </c>
      <c r="AH41" s="19">
        <v>1592.32</v>
      </c>
      <c r="AI41" s="10"/>
    </row>
    <row r="42" spans="1:35" x14ac:dyDescent="0.2">
      <c r="A42" s="18">
        <v>456024909</v>
      </c>
      <c r="B42" t="s">
        <v>128</v>
      </c>
      <c r="C42" t="str">
        <f>CONCATENATE(Table5[[#This Row],[id]], "-", PROPER(Table5[[#This Row],[name]]))</f>
        <v>456024909-Mission Adventure</v>
      </c>
      <c r="D42" s="1">
        <v>43533</v>
      </c>
      <c r="E42" s="1">
        <v>43586</v>
      </c>
      <c r="F42" s="1">
        <v>43606</v>
      </c>
      <c r="G42" s="18">
        <f t="shared" si="5"/>
        <v>20</v>
      </c>
      <c r="H42" s="18">
        <f t="shared" si="6"/>
        <v>3</v>
      </c>
      <c r="I42" s="18">
        <f t="shared" si="7"/>
        <v>5</v>
      </c>
      <c r="J42" s="5" t="b">
        <f t="shared" si="8"/>
        <v>0</v>
      </c>
      <c r="K42" s="28">
        <v>1056</v>
      </c>
      <c r="L42" s="28">
        <f t="shared" si="13"/>
        <v>1056</v>
      </c>
      <c r="M42" s="22">
        <f t="shared" si="9"/>
        <v>20</v>
      </c>
      <c r="N42" t="s">
        <v>18</v>
      </c>
      <c r="O42">
        <f>VLOOKUP(Table5[[#This Row],[currency]],Table3[],2)</f>
        <v>1.16955371</v>
      </c>
      <c r="P42" s="18">
        <v>78175.5</v>
      </c>
      <c r="Q42" s="32">
        <f>Table5[[#This Row],[pledged]]*Table5[[#This Row],[Exchange_rate]]</f>
        <v>91430.446056104993</v>
      </c>
      <c r="R42" s="33">
        <f>ROUND(Table5[[#This Row],[Pledged_USD]],0)</f>
        <v>91430</v>
      </c>
      <c r="S42" s="35">
        <v>10000</v>
      </c>
      <c r="T42" s="35">
        <f>VALUE(Table5[[#This Row],[goal_USD]])</f>
        <v>10000</v>
      </c>
      <c r="U42" t="s">
        <v>462</v>
      </c>
      <c r="V42" t="s">
        <v>669</v>
      </c>
      <c r="W42" t="str">
        <f t="shared" si="14"/>
        <v>Tours, Centre</v>
      </c>
      <c r="X42" t="s">
        <v>530</v>
      </c>
      <c r="Y42" t="str">
        <f t="shared" si="15"/>
        <v>France</v>
      </c>
      <c r="Z42" t="s">
        <v>38</v>
      </c>
      <c r="AA42">
        <f t="shared" si="16"/>
        <v>54</v>
      </c>
      <c r="AB42" t="str">
        <f t="shared" si="17"/>
        <v>tabletop%20games</v>
      </c>
      <c r="AC42" t="str">
        <f>SUBSTITUTE(Table5[[#This Row],[source_url_category]], "%20", " ")</f>
        <v>tabletop games</v>
      </c>
      <c r="AD42" s="2" t="b">
        <v>0</v>
      </c>
      <c r="AE42" s="2" t="str">
        <f>LOWER(Table5[[#This Row],[staff_pick]])</f>
        <v>false</v>
      </c>
      <c r="AF42" t="s">
        <v>16</v>
      </c>
      <c r="AH42" s="19">
        <v>1597</v>
      </c>
      <c r="AI42" s="10"/>
    </row>
    <row r="43" spans="1:35" x14ac:dyDescent="0.2">
      <c r="A43" s="18">
        <v>470556307</v>
      </c>
      <c r="B43" t="s">
        <v>166</v>
      </c>
      <c r="C43" t="str">
        <f>CONCATENATE(Table5[[#This Row],[id]], "-", PROPER(Table5[[#This Row],[name]]))</f>
        <v>470556307-Electric Volleyball: Led Volleyball Net</v>
      </c>
      <c r="D43" s="1">
        <v>43534</v>
      </c>
      <c r="E43" s="1">
        <v>43537</v>
      </c>
      <c r="F43" s="1">
        <v>43597</v>
      </c>
      <c r="G43" s="18">
        <f t="shared" si="5"/>
        <v>60</v>
      </c>
      <c r="H43" s="18">
        <f t="shared" si="6"/>
        <v>3</v>
      </c>
      <c r="I43" s="18">
        <f t="shared" si="7"/>
        <v>3</v>
      </c>
      <c r="J43" s="5" t="b">
        <f t="shared" si="8"/>
        <v>0</v>
      </c>
      <c r="K43" s="29">
        <v>2</v>
      </c>
      <c r="L43" s="29">
        <f t="shared" si="13"/>
        <v>2</v>
      </c>
      <c r="M43" s="22">
        <f t="shared" si="9"/>
        <v>60</v>
      </c>
      <c r="N43" t="s">
        <v>15</v>
      </c>
      <c r="O43">
        <f>VLOOKUP(Table5[[#This Row],[currency]],Table3[],2)</f>
        <v>1</v>
      </c>
      <c r="P43" s="18">
        <v>2</v>
      </c>
      <c r="Q43" s="32">
        <f>Table5[[#This Row],[pledged]]*Table5[[#This Row],[Exchange_rate]]</f>
        <v>2</v>
      </c>
      <c r="R43" s="33">
        <f>ROUND(Table5[[#This Row],[Pledged_USD]],0)</f>
        <v>2</v>
      </c>
      <c r="S43" s="35">
        <v>550000</v>
      </c>
      <c r="T43" s="35">
        <f>VALUE(Table5[[#This Row],[goal_USD]])</f>
        <v>550000</v>
      </c>
      <c r="U43" t="s">
        <v>474</v>
      </c>
      <c r="V43" t="s">
        <v>648</v>
      </c>
      <c r="W43" t="str">
        <f t="shared" si="14"/>
        <v>Hampton, VA</v>
      </c>
      <c r="X43" t="s">
        <v>527</v>
      </c>
      <c r="Y43" t="str">
        <f t="shared" si="15"/>
        <v>United States</v>
      </c>
      <c r="Z43" t="s">
        <v>41</v>
      </c>
      <c r="AA43">
        <f t="shared" si="16"/>
        <v>54</v>
      </c>
      <c r="AB43" t="str">
        <f t="shared" si="17"/>
        <v>live%20games</v>
      </c>
      <c r="AC43" t="str">
        <f>SUBSTITUTE(Table5[[#This Row],[source_url_category]], "%20", " ")</f>
        <v>live games</v>
      </c>
      <c r="AD43" s="2" t="b">
        <v>0</v>
      </c>
      <c r="AE43" s="2" t="str">
        <f>LOWER(Table5[[#This Row],[staff_pick]])</f>
        <v>false</v>
      </c>
      <c r="AF43" t="s">
        <v>17</v>
      </c>
      <c r="AH43" s="19">
        <v>1612</v>
      </c>
      <c r="AI43" s="10"/>
    </row>
    <row r="44" spans="1:35" x14ac:dyDescent="0.2">
      <c r="A44" s="18">
        <v>474040495</v>
      </c>
      <c r="B44" t="s">
        <v>57</v>
      </c>
      <c r="C44" t="str">
        <f>CONCATENATE(Table5[[#This Row],[id]], "-", PROPER(Table5[[#This Row],[name]]))</f>
        <v>474040495-Breachstorm: Reloaded - 30Mm Sci-Fi Miniatures</v>
      </c>
      <c r="D44" s="1">
        <v>43539</v>
      </c>
      <c r="E44" s="1">
        <v>43550</v>
      </c>
      <c r="F44" s="1">
        <v>43561</v>
      </c>
      <c r="G44" s="18">
        <f t="shared" si="5"/>
        <v>11</v>
      </c>
      <c r="H44" s="18">
        <f t="shared" si="6"/>
        <v>2</v>
      </c>
      <c r="I44" s="18">
        <f t="shared" si="7"/>
        <v>3</v>
      </c>
      <c r="J44" s="5" t="b">
        <f t="shared" si="8"/>
        <v>0</v>
      </c>
      <c r="K44" s="28">
        <v>617</v>
      </c>
      <c r="L44" s="28">
        <f t="shared" si="13"/>
        <v>617</v>
      </c>
      <c r="M44" s="22">
        <f t="shared" si="9"/>
        <v>11</v>
      </c>
      <c r="N44" t="s">
        <v>15</v>
      </c>
      <c r="O44">
        <f>VLOOKUP(Table5[[#This Row],[currency]],Table3[],2)</f>
        <v>1</v>
      </c>
      <c r="P44" s="18">
        <v>9766</v>
      </c>
      <c r="Q44" s="32">
        <f>Table5[[#This Row],[pledged]]*Table5[[#This Row],[Exchange_rate]]</f>
        <v>9766</v>
      </c>
      <c r="R44" s="33">
        <f>ROUND(Table5[[#This Row],[Pledged_USD]],0)</f>
        <v>9766</v>
      </c>
      <c r="S44" s="35">
        <v>1000</v>
      </c>
      <c r="T44" s="35">
        <f>VALUE(Table5[[#This Row],[goal_USD]])</f>
        <v>1000</v>
      </c>
      <c r="U44" t="s">
        <v>485</v>
      </c>
      <c r="V44" t="s">
        <v>670</v>
      </c>
      <c r="W44" t="str">
        <f t="shared" si="14"/>
        <v>Collingswood, NJ</v>
      </c>
      <c r="X44" t="s">
        <v>527</v>
      </c>
      <c r="Y44" t="str">
        <f t="shared" si="15"/>
        <v>United States</v>
      </c>
      <c r="Z44" t="s">
        <v>38</v>
      </c>
      <c r="AA44">
        <f t="shared" si="16"/>
        <v>54</v>
      </c>
      <c r="AB44" t="str">
        <f t="shared" si="17"/>
        <v>tabletop%20games</v>
      </c>
      <c r="AC44" t="str">
        <f>SUBSTITUTE(Table5[[#This Row],[source_url_category]], "%20", " ")</f>
        <v>tabletop games</v>
      </c>
      <c r="AD44" s="2" t="b">
        <v>0</v>
      </c>
      <c r="AE44" s="2" t="str">
        <f>LOWER(Table5[[#This Row],[staff_pick]])</f>
        <v>false</v>
      </c>
      <c r="AF44" t="s">
        <v>16</v>
      </c>
      <c r="AH44" s="19">
        <v>1633</v>
      </c>
      <c r="AI44" s="10"/>
    </row>
    <row r="45" spans="1:35" x14ac:dyDescent="0.2">
      <c r="A45" s="18">
        <v>489200715</v>
      </c>
      <c r="B45" t="s">
        <v>164</v>
      </c>
      <c r="C45" t="str">
        <f>CONCATENATE(Table5[[#This Row],[id]], "-", PROPER(Table5[[#This Row],[name]]))</f>
        <v>489200715-Sea Shanties: A Pirate-Centric Board Game</v>
      </c>
      <c r="D45" s="1">
        <v>43542</v>
      </c>
      <c r="E45" s="1">
        <v>43543</v>
      </c>
      <c r="F45" s="1">
        <v>43576</v>
      </c>
      <c r="G45" s="18">
        <f t="shared" si="5"/>
        <v>33</v>
      </c>
      <c r="H45" s="18">
        <f t="shared" si="6"/>
        <v>2</v>
      </c>
      <c r="I45" s="18">
        <f t="shared" si="7"/>
        <v>3</v>
      </c>
      <c r="J45" s="5" t="b">
        <f t="shared" si="8"/>
        <v>0</v>
      </c>
      <c r="K45" s="29">
        <v>272</v>
      </c>
      <c r="L45" s="29">
        <f t="shared" si="13"/>
        <v>272</v>
      </c>
      <c r="M45" s="22">
        <f t="shared" si="9"/>
        <v>33</v>
      </c>
      <c r="N45" t="s">
        <v>18</v>
      </c>
      <c r="O45">
        <f>VLOOKUP(Table5[[#This Row],[currency]],Table3[],2)</f>
        <v>1.16955371</v>
      </c>
      <c r="P45" s="18">
        <v>15456</v>
      </c>
      <c r="Q45" s="32">
        <f>Table5[[#This Row],[pledged]]*Table5[[#This Row],[Exchange_rate]]</f>
        <v>18076.622141759999</v>
      </c>
      <c r="R45" s="33">
        <f>ROUND(Table5[[#This Row],[Pledged_USD]],0)</f>
        <v>18077</v>
      </c>
      <c r="S45" s="35">
        <v>500</v>
      </c>
      <c r="T45" s="35">
        <f>VALUE(Table5[[#This Row],[goal_USD]])</f>
        <v>500</v>
      </c>
      <c r="U45" t="s">
        <v>445</v>
      </c>
      <c r="V45" t="s">
        <v>671</v>
      </c>
      <c r="W45" t="str">
        <f t="shared" si="14"/>
        <v>Krempe, Schleswig-Holstein</v>
      </c>
      <c r="X45" t="s">
        <v>528</v>
      </c>
      <c r="Y45" t="str">
        <f t="shared" si="15"/>
        <v>Germany</v>
      </c>
      <c r="Z45" t="s">
        <v>38</v>
      </c>
      <c r="AA45">
        <f t="shared" si="16"/>
        <v>54</v>
      </c>
      <c r="AB45" t="str">
        <f t="shared" si="17"/>
        <v>tabletop%20games</v>
      </c>
      <c r="AC45" t="str">
        <f>SUBSTITUTE(Table5[[#This Row],[source_url_category]], "%20", " ")</f>
        <v>tabletop games</v>
      </c>
      <c r="AD45" s="2" t="b">
        <v>0</v>
      </c>
      <c r="AE45" s="2" t="str">
        <f>LOWER(Table5[[#This Row],[staff_pick]])</f>
        <v>false</v>
      </c>
      <c r="AF45" t="s">
        <v>16</v>
      </c>
      <c r="AH45" s="19">
        <v>1731</v>
      </c>
      <c r="AI45" s="10"/>
    </row>
    <row r="46" spans="1:35" x14ac:dyDescent="0.2">
      <c r="A46" s="18">
        <v>490205120</v>
      </c>
      <c r="B46" t="s">
        <v>117</v>
      </c>
      <c r="C46" t="str">
        <f>CONCATENATE(Table5[[#This Row],[id]], "-", PROPER(Table5[[#This Row],[name]]))</f>
        <v>490205120-A Collection Based Game For People To Show Off</v>
      </c>
      <c r="D46" s="1">
        <v>43542</v>
      </c>
      <c r="E46" s="1">
        <v>43543</v>
      </c>
      <c r="F46" s="1">
        <v>43573</v>
      </c>
      <c r="G46" s="18">
        <f t="shared" si="5"/>
        <v>30</v>
      </c>
      <c r="H46" s="18">
        <f t="shared" si="6"/>
        <v>2</v>
      </c>
      <c r="I46" s="18">
        <f t="shared" si="7"/>
        <v>3</v>
      </c>
      <c r="J46" s="5" t="b">
        <f t="shared" si="8"/>
        <v>0</v>
      </c>
      <c r="K46" s="28">
        <v>725</v>
      </c>
      <c r="L46" s="28">
        <f t="shared" si="13"/>
        <v>725</v>
      </c>
      <c r="M46" s="22">
        <f t="shared" si="9"/>
        <v>30</v>
      </c>
      <c r="N46" t="s">
        <v>15</v>
      </c>
      <c r="O46">
        <f>VLOOKUP(Table5[[#This Row],[currency]],Table3[],2)</f>
        <v>1</v>
      </c>
      <c r="P46" s="18">
        <v>12400</v>
      </c>
      <c r="Q46" s="32">
        <f>Table5[[#This Row],[pledged]]*Table5[[#This Row],[Exchange_rate]]</f>
        <v>12400</v>
      </c>
      <c r="R46" s="33">
        <f>ROUND(Table5[[#This Row],[Pledged_USD]],0)</f>
        <v>12400</v>
      </c>
      <c r="S46" s="35">
        <v>400</v>
      </c>
      <c r="T46" s="35">
        <f>VALUE(Table5[[#This Row],[goal_USD]])</f>
        <v>400</v>
      </c>
      <c r="U46" t="s">
        <v>376</v>
      </c>
      <c r="V46" t="s">
        <v>23</v>
      </c>
      <c r="W46" t="str">
        <f t="shared" si="14"/>
        <v>San Francisco, CA</v>
      </c>
      <c r="X46" t="s">
        <v>527</v>
      </c>
      <c r="Y46" t="str">
        <f t="shared" si="15"/>
        <v>United States</v>
      </c>
      <c r="Z46" t="s">
        <v>38</v>
      </c>
      <c r="AA46">
        <f t="shared" si="16"/>
        <v>54</v>
      </c>
      <c r="AB46" t="str">
        <f t="shared" si="17"/>
        <v>tabletop%20games</v>
      </c>
      <c r="AC46" t="str">
        <f>SUBSTITUTE(Table5[[#This Row],[source_url_category]], "%20", " ")</f>
        <v>tabletop games</v>
      </c>
      <c r="AD46" s="2" t="b">
        <v>0</v>
      </c>
      <c r="AE46" s="2" t="str">
        <f>LOWER(Table5[[#This Row],[staff_pick]])</f>
        <v>false</v>
      </c>
      <c r="AF46" t="s">
        <v>16</v>
      </c>
      <c r="AH46" s="19">
        <v>1737</v>
      </c>
      <c r="AI46" s="10"/>
    </row>
    <row r="47" spans="1:35" x14ac:dyDescent="0.2">
      <c r="A47" s="18">
        <v>506366660</v>
      </c>
      <c r="B47" t="s">
        <v>227</v>
      </c>
      <c r="C47" t="str">
        <f>CONCATENATE(Table5[[#This Row],[id]], "-", PROPER(Table5[[#This Row],[name]]))</f>
        <v>506366660-Secrets Of The World Harvesters</v>
      </c>
      <c r="D47" s="1">
        <v>43543</v>
      </c>
      <c r="E47" s="1">
        <v>43662</v>
      </c>
      <c r="F47" s="1">
        <v>43683</v>
      </c>
      <c r="G47" s="18">
        <f t="shared" si="5"/>
        <v>21</v>
      </c>
      <c r="H47" s="18">
        <f t="shared" si="6"/>
        <v>2</v>
      </c>
      <c r="I47" s="18">
        <f t="shared" si="7"/>
        <v>7</v>
      </c>
      <c r="J47" s="5" t="b">
        <f t="shared" si="8"/>
        <v>0</v>
      </c>
      <c r="K47" s="29">
        <v>160</v>
      </c>
      <c r="L47" s="29">
        <f t="shared" si="13"/>
        <v>160</v>
      </c>
      <c r="M47" s="22">
        <f t="shared" si="9"/>
        <v>21</v>
      </c>
      <c r="N47" t="s">
        <v>34</v>
      </c>
      <c r="O47">
        <f>VLOOKUP(Table5[[#This Row],[currency]],Table3[],2)</f>
        <v>0.12847297999999999</v>
      </c>
      <c r="P47" s="18">
        <v>87445</v>
      </c>
      <c r="Q47" s="32">
        <f>Table5[[#This Row],[pledged]]*Table5[[#This Row],[Exchange_rate]]</f>
        <v>11234.319736099998</v>
      </c>
      <c r="R47" s="33">
        <f>ROUND(Table5[[#This Row],[Pledged_USD]],0)</f>
        <v>11234</v>
      </c>
      <c r="S47" s="35">
        <v>30000</v>
      </c>
      <c r="T47" s="35">
        <f>VALUE(Table5[[#This Row],[goal_USD]])</f>
        <v>30000</v>
      </c>
      <c r="U47" t="s">
        <v>408</v>
      </c>
      <c r="V47" t="s">
        <v>672</v>
      </c>
      <c r="W47" t="str">
        <f t="shared" si="14"/>
        <v>Hong Kong, Hong Kong Island</v>
      </c>
      <c r="X47" t="s">
        <v>535</v>
      </c>
      <c r="Y47" t="str">
        <f t="shared" si="15"/>
        <v>Hong Kong</v>
      </c>
      <c r="Z47" t="s">
        <v>107</v>
      </c>
      <c r="AA47">
        <f t="shared" si="16"/>
        <v>54</v>
      </c>
      <c r="AB47" t="str">
        <f t="shared" si="17"/>
        <v>playing%20cards</v>
      </c>
      <c r="AC47" t="str">
        <f>SUBSTITUTE(Table5[[#This Row],[source_url_category]], "%20", " ")</f>
        <v>playing cards</v>
      </c>
      <c r="AD47" s="2" t="b">
        <v>0</v>
      </c>
      <c r="AE47" s="2" t="str">
        <f>LOWER(Table5[[#This Row],[staff_pick]])</f>
        <v>false</v>
      </c>
      <c r="AF47" t="s">
        <v>16</v>
      </c>
      <c r="AH47" s="19">
        <v>1784.29</v>
      </c>
      <c r="AI47" s="10"/>
    </row>
    <row r="48" spans="1:35" x14ac:dyDescent="0.2">
      <c r="A48" s="18">
        <v>526646207</v>
      </c>
      <c r="B48" t="s">
        <v>47</v>
      </c>
      <c r="C48" t="str">
        <f>CONCATENATE(Table5[[#This Row],[id]], "-", PROPER(Table5[[#This Row],[name]]))</f>
        <v>526646207-Vengeance : Director'S Cut</v>
      </c>
      <c r="D48" s="1">
        <v>43543</v>
      </c>
      <c r="E48" s="1">
        <v>43552</v>
      </c>
      <c r="F48" s="1">
        <v>43601</v>
      </c>
      <c r="G48" s="18">
        <f t="shared" si="5"/>
        <v>49</v>
      </c>
      <c r="H48" s="18">
        <f t="shared" si="6"/>
        <v>4</v>
      </c>
      <c r="I48" s="18">
        <f t="shared" si="7"/>
        <v>3</v>
      </c>
      <c r="J48" s="5" t="b">
        <f t="shared" si="8"/>
        <v>0</v>
      </c>
      <c r="K48" s="28">
        <v>56</v>
      </c>
      <c r="L48" s="28">
        <f t="shared" si="13"/>
        <v>56</v>
      </c>
      <c r="M48" s="22">
        <f t="shared" si="9"/>
        <v>49</v>
      </c>
      <c r="N48" t="s">
        <v>15</v>
      </c>
      <c r="O48">
        <f>VLOOKUP(Table5[[#This Row],[currency]],Table3[],2)</f>
        <v>1</v>
      </c>
      <c r="P48" s="18">
        <v>4046.69</v>
      </c>
      <c r="Q48" s="32">
        <f>Table5[[#This Row],[pledged]]*Table5[[#This Row],[Exchange_rate]]</f>
        <v>4046.69</v>
      </c>
      <c r="R48" s="33">
        <f>ROUND(Table5[[#This Row],[Pledged_USD]],0)</f>
        <v>4047</v>
      </c>
      <c r="S48" s="35">
        <v>2500</v>
      </c>
      <c r="T48" s="35">
        <f>VALUE(Table5[[#This Row],[goal_USD]])</f>
        <v>2500</v>
      </c>
      <c r="U48" t="s">
        <v>397</v>
      </c>
      <c r="V48" t="s">
        <v>670</v>
      </c>
      <c r="W48" t="str">
        <f t="shared" si="14"/>
        <v>New Brunswick, NJ</v>
      </c>
      <c r="X48" t="s">
        <v>527</v>
      </c>
      <c r="Y48" t="str">
        <f t="shared" si="15"/>
        <v>United States</v>
      </c>
      <c r="Z48" t="s">
        <v>38</v>
      </c>
      <c r="AA48">
        <f t="shared" si="16"/>
        <v>54</v>
      </c>
      <c r="AB48" t="str">
        <f t="shared" si="17"/>
        <v>tabletop%20games</v>
      </c>
      <c r="AC48" t="str">
        <f>SUBSTITUTE(Table5[[#This Row],[source_url_category]], "%20", " ")</f>
        <v>tabletop games</v>
      </c>
      <c r="AD48" s="2" t="b">
        <v>0</v>
      </c>
      <c r="AE48" s="2" t="str">
        <f>LOWER(Table5[[#This Row],[staff_pick]])</f>
        <v>false</v>
      </c>
      <c r="AF48" t="s">
        <v>16</v>
      </c>
      <c r="AH48" s="19">
        <v>1816</v>
      </c>
      <c r="AI48" s="10"/>
    </row>
    <row r="49" spans="1:35" x14ac:dyDescent="0.2">
      <c r="A49" s="18">
        <v>528402382</v>
      </c>
      <c r="B49" t="s">
        <v>158</v>
      </c>
      <c r="C49" t="str">
        <f>CONCATENATE(Table5[[#This Row],[id]], "-", PROPER(Table5[[#This Row],[name]]))</f>
        <v>528402382-Reaping At River'S End For 5E And S&amp;W Rpg!</v>
      </c>
      <c r="D49" s="1">
        <v>43545</v>
      </c>
      <c r="E49" s="1">
        <v>43557</v>
      </c>
      <c r="F49" s="1">
        <v>43587</v>
      </c>
      <c r="G49" s="18">
        <f t="shared" si="5"/>
        <v>30</v>
      </c>
      <c r="H49" s="18">
        <f t="shared" si="6"/>
        <v>2</v>
      </c>
      <c r="I49" s="18">
        <f t="shared" si="7"/>
        <v>4</v>
      </c>
      <c r="J49" s="5" t="b">
        <f t="shared" si="8"/>
        <v>0</v>
      </c>
      <c r="K49" s="29">
        <v>78</v>
      </c>
      <c r="L49" s="29">
        <f t="shared" si="13"/>
        <v>78</v>
      </c>
      <c r="M49" s="22">
        <f t="shared" si="9"/>
        <v>30</v>
      </c>
      <c r="N49" t="s">
        <v>15</v>
      </c>
      <c r="O49">
        <f>VLOOKUP(Table5[[#This Row],[currency]],Table3[],2)</f>
        <v>1</v>
      </c>
      <c r="P49" s="18">
        <v>2707</v>
      </c>
      <c r="Q49" s="32">
        <f>Table5[[#This Row],[pledged]]*Table5[[#This Row],[Exchange_rate]]</f>
        <v>2707</v>
      </c>
      <c r="R49" s="33">
        <f>ROUND(Table5[[#This Row],[Pledged_USD]],0)</f>
        <v>2707</v>
      </c>
      <c r="S49" s="35">
        <v>1000</v>
      </c>
      <c r="T49" s="35">
        <f>VALUE(Table5[[#This Row],[goal_USD]])</f>
        <v>1000</v>
      </c>
      <c r="U49" t="s">
        <v>406</v>
      </c>
      <c r="V49" t="s">
        <v>667</v>
      </c>
      <c r="W49" t="str">
        <f t="shared" si="14"/>
        <v>Provo, UT</v>
      </c>
      <c r="X49" t="s">
        <v>527</v>
      </c>
      <c r="Y49" t="str">
        <f t="shared" si="15"/>
        <v>United States</v>
      </c>
      <c r="Z49" t="s">
        <v>107</v>
      </c>
      <c r="AA49">
        <f t="shared" si="16"/>
        <v>54</v>
      </c>
      <c r="AB49" t="str">
        <f t="shared" si="17"/>
        <v>playing%20cards</v>
      </c>
      <c r="AC49" t="str">
        <f>SUBSTITUTE(Table5[[#This Row],[source_url_category]], "%20", " ")</f>
        <v>playing cards</v>
      </c>
      <c r="AD49" s="2" t="b">
        <v>0</v>
      </c>
      <c r="AE49" s="2" t="str">
        <f>LOWER(Table5[[#This Row],[staff_pick]])</f>
        <v>false</v>
      </c>
      <c r="AF49" t="s">
        <v>16</v>
      </c>
      <c r="AH49" s="19">
        <v>1966</v>
      </c>
      <c r="AI49" s="10"/>
    </row>
    <row r="50" spans="1:35" x14ac:dyDescent="0.2">
      <c r="A50" s="18">
        <v>570716639</v>
      </c>
      <c r="B50" t="s">
        <v>202</v>
      </c>
      <c r="C50" t="str">
        <f>CONCATENATE(Table5[[#This Row],[id]], "-", PROPER(Table5[[#This Row],[name]]))</f>
        <v>570716639-Night Parade Of 100 Demons: The Board Game (English)</v>
      </c>
      <c r="D50" s="1">
        <v>43546</v>
      </c>
      <c r="E50" s="1">
        <v>43570</v>
      </c>
      <c r="F50" s="1">
        <v>43600</v>
      </c>
      <c r="G50" s="18">
        <f t="shared" si="5"/>
        <v>30</v>
      </c>
      <c r="H50" s="18">
        <f t="shared" si="6"/>
        <v>1</v>
      </c>
      <c r="I50" s="18">
        <f t="shared" si="7"/>
        <v>4</v>
      </c>
      <c r="J50" s="5" t="b">
        <f t="shared" si="8"/>
        <v>0</v>
      </c>
      <c r="K50" s="28">
        <v>18</v>
      </c>
      <c r="L50" s="28">
        <f t="shared" si="13"/>
        <v>18</v>
      </c>
      <c r="M50" s="22">
        <f t="shared" si="9"/>
        <v>30</v>
      </c>
      <c r="N50" t="s">
        <v>15</v>
      </c>
      <c r="O50">
        <f>VLOOKUP(Table5[[#This Row],[currency]],Table3[],2)</f>
        <v>1</v>
      </c>
      <c r="P50" s="18">
        <v>1154</v>
      </c>
      <c r="Q50" s="32">
        <f>Table5[[#This Row],[pledged]]*Table5[[#This Row],[Exchange_rate]]</f>
        <v>1154</v>
      </c>
      <c r="R50" s="33">
        <f>ROUND(Table5[[#This Row],[Pledged_USD]],0)</f>
        <v>1154</v>
      </c>
      <c r="S50" s="35">
        <v>10000</v>
      </c>
      <c r="T50" s="35">
        <f>VALUE(Table5[[#This Row],[goal_USD]])</f>
        <v>10000</v>
      </c>
      <c r="U50" t="s">
        <v>409</v>
      </c>
      <c r="V50" t="s">
        <v>662</v>
      </c>
      <c r="W50" t="str">
        <f t="shared" si="14"/>
        <v>East Lansing, MI</v>
      </c>
      <c r="X50" t="s">
        <v>527</v>
      </c>
      <c r="Y50" t="str">
        <f t="shared" si="15"/>
        <v>United States</v>
      </c>
      <c r="Z50" t="s">
        <v>107</v>
      </c>
      <c r="AA50">
        <f t="shared" si="16"/>
        <v>54</v>
      </c>
      <c r="AB50" t="str">
        <f t="shared" si="17"/>
        <v>playing%20cards</v>
      </c>
      <c r="AC50" t="str">
        <f>SUBSTITUTE(Table5[[#This Row],[source_url_category]], "%20", " ")</f>
        <v>playing cards</v>
      </c>
      <c r="AD50" s="2" t="b">
        <v>0</v>
      </c>
      <c r="AE50" s="2" t="str">
        <f>LOWER(Table5[[#This Row],[staff_pick]])</f>
        <v>false</v>
      </c>
      <c r="AF50" t="s">
        <v>17</v>
      </c>
      <c r="AH50" s="19">
        <v>2047</v>
      </c>
      <c r="AI50" s="10"/>
    </row>
    <row r="51" spans="1:35" x14ac:dyDescent="0.2">
      <c r="A51" s="18">
        <v>575542112</v>
      </c>
      <c r="B51" t="s">
        <v>113</v>
      </c>
      <c r="C51" t="str">
        <f>CONCATENATE(Table5[[#This Row],[id]], "-", PROPER(Table5[[#This Row],[name]]))</f>
        <v>575542112-Gaym</v>
      </c>
      <c r="D51" s="1">
        <v>43550</v>
      </c>
      <c r="E51" s="1">
        <v>43552</v>
      </c>
      <c r="F51" s="1">
        <v>43572</v>
      </c>
      <c r="G51" s="18">
        <f t="shared" si="5"/>
        <v>20</v>
      </c>
      <c r="H51" s="18">
        <f t="shared" si="6"/>
        <v>4</v>
      </c>
      <c r="I51" s="18">
        <f t="shared" si="7"/>
        <v>3</v>
      </c>
      <c r="J51" s="5" t="b">
        <f t="shared" si="8"/>
        <v>0</v>
      </c>
      <c r="K51" s="29">
        <v>96</v>
      </c>
      <c r="L51" s="29">
        <f t="shared" si="13"/>
        <v>96</v>
      </c>
      <c r="M51" s="22">
        <f t="shared" si="9"/>
        <v>20</v>
      </c>
      <c r="N51" t="s">
        <v>15</v>
      </c>
      <c r="O51">
        <f>VLOOKUP(Table5[[#This Row],[currency]],Table3[],2)</f>
        <v>1</v>
      </c>
      <c r="P51" s="18">
        <v>2731</v>
      </c>
      <c r="Q51" s="32">
        <f>Table5[[#This Row],[pledged]]*Table5[[#This Row],[Exchange_rate]]</f>
        <v>2731</v>
      </c>
      <c r="R51" s="33">
        <f>ROUND(Table5[[#This Row],[Pledged_USD]],0)</f>
        <v>2731</v>
      </c>
      <c r="S51" s="35">
        <v>1000</v>
      </c>
      <c r="T51" s="35">
        <f>VALUE(Table5[[#This Row],[goal_USD]])</f>
        <v>1000</v>
      </c>
      <c r="U51" t="s">
        <v>352</v>
      </c>
      <c r="V51" t="s">
        <v>649</v>
      </c>
      <c r="W51" t="str">
        <f t="shared" si="14"/>
        <v>New York, NY</v>
      </c>
      <c r="X51" t="s">
        <v>527</v>
      </c>
      <c r="Y51" t="str">
        <f t="shared" si="15"/>
        <v>United States</v>
      </c>
      <c r="Z51" t="s">
        <v>38</v>
      </c>
      <c r="AA51">
        <f t="shared" si="16"/>
        <v>54</v>
      </c>
      <c r="AB51" t="str">
        <f t="shared" si="17"/>
        <v>tabletop%20games</v>
      </c>
      <c r="AC51" t="str">
        <f>SUBSTITUTE(Table5[[#This Row],[source_url_category]], "%20", " ")</f>
        <v>tabletop games</v>
      </c>
      <c r="AD51" s="2" t="b">
        <v>0</v>
      </c>
      <c r="AE51" s="2" t="str">
        <f>LOWER(Table5[[#This Row],[staff_pick]])</f>
        <v>false</v>
      </c>
      <c r="AF51" t="s">
        <v>16</v>
      </c>
      <c r="AH51" s="19">
        <v>2060</v>
      </c>
      <c r="AI51" s="10"/>
    </row>
    <row r="52" spans="1:35" x14ac:dyDescent="0.2">
      <c r="A52" s="18">
        <v>599991695</v>
      </c>
      <c r="B52" t="s">
        <v>704</v>
      </c>
      <c r="C52" t="str">
        <f>CONCATENATE(Table5[[#This Row],[id]], "-", PROPER(Table5[[#This Row],[name]]))</f>
        <v>599991695-First Us Fantasy Sports Site For Women'S Leagues: She Plays</v>
      </c>
      <c r="D52" s="1">
        <v>43551</v>
      </c>
      <c r="E52" s="1">
        <v>43556</v>
      </c>
      <c r="F52" s="1">
        <v>43570</v>
      </c>
      <c r="G52" s="18">
        <f t="shared" si="5"/>
        <v>14</v>
      </c>
      <c r="H52" s="18">
        <f t="shared" si="6"/>
        <v>1</v>
      </c>
      <c r="I52" s="18">
        <f t="shared" si="7"/>
        <v>4</v>
      </c>
      <c r="J52" s="5" t="b">
        <f t="shared" si="8"/>
        <v>0</v>
      </c>
      <c r="K52" s="28">
        <v>228</v>
      </c>
      <c r="L52" s="28">
        <f t="shared" si="13"/>
        <v>228</v>
      </c>
      <c r="M52" s="22">
        <f t="shared" si="9"/>
        <v>14</v>
      </c>
      <c r="N52" t="s">
        <v>15</v>
      </c>
      <c r="O52">
        <f>VLOOKUP(Table5[[#This Row],[currency]],Table3[],2)</f>
        <v>1</v>
      </c>
      <c r="P52" s="18">
        <v>16047</v>
      </c>
      <c r="Q52" s="32">
        <f>Table5[[#This Row],[pledged]]*Table5[[#This Row],[Exchange_rate]]</f>
        <v>16047</v>
      </c>
      <c r="R52" s="33">
        <f>ROUND(Table5[[#This Row],[Pledged_USD]],0)</f>
        <v>16047</v>
      </c>
      <c r="S52" s="35">
        <v>5000</v>
      </c>
      <c r="T52" s="35">
        <f>VALUE(Table5[[#This Row],[goal_USD]])</f>
        <v>5000</v>
      </c>
      <c r="U52" t="s">
        <v>456</v>
      </c>
      <c r="V52" t="s">
        <v>673</v>
      </c>
      <c r="W52" t="str">
        <f t="shared" si="14"/>
        <v>Brandon, MS</v>
      </c>
      <c r="X52" t="s">
        <v>527</v>
      </c>
      <c r="Y52" t="str">
        <f t="shared" si="15"/>
        <v>United States</v>
      </c>
      <c r="Z52" t="s">
        <v>38</v>
      </c>
      <c r="AA52">
        <f t="shared" si="16"/>
        <v>54</v>
      </c>
      <c r="AB52" t="str">
        <f t="shared" si="17"/>
        <v>tabletop%20games</v>
      </c>
      <c r="AC52" t="str">
        <f>SUBSTITUTE(Table5[[#This Row],[source_url_category]], "%20", " ")</f>
        <v>tabletop games</v>
      </c>
      <c r="AD52" s="2" t="b">
        <v>0</v>
      </c>
      <c r="AE52" s="2" t="str">
        <f>LOWER(Table5[[#This Row],[staff_pick]])</f>
        <v>false</v>
      </c>
      <c r="AF52" t="s">
        <v>16</v>
      </c>
      <c r="AH52" s="19">
        <v>2123</v>
      </c>
      <c r="AI52" s="10"/>
    </row>
    <row r="53" spans="1:35" x14ac:dyDescent="0.2">
      <c r="A53" s="18">
        <v>603218921</v>
      </c>
      <c r="B53" t="s">
        <v>242</v>
      </c>
      <c r="C53" t="str">
        <f>CONCATENATE(Table5[[#This Row],[id]], "-", PROPER(Table5[[#This Row],[name]]))</f>
        <v>603218921-Football Fantasy, A First-And-Dungeon Zine.</v>
      </c>
      <c r="D53" s="1">
        <v>43553</v>
      </c>
      <c r="E53" s="1">
        <v>43605</v>
      </c>
      <c r="F53" s="1">
        <v>43635</v>
      </c>
      <c r="G53" s="18">
        <f t="shared" si="5"/>
        <v>30</v>
      </c>
      <c r="H53" s="18">
        <f t="shared" si="6"/>
        <v>1</v>
      </c>
      <c r="I53" s="18">
        <f t="shared" si="7"/>
        <v>5</v>
      </c>
      <c r="J53" s="5" t="b">
        <f t="shared" si="8"/>
        <v>0</v>
      </c>
      <c r="K53" s="29">
        <v>157</v>
      </c>
      <c r="L53" s="29">
        <f t="shared" si="13"/>
        <v>157</v>
      </c>
      <c r="M53" s="22">
        <f t="shared" si="9"/>
        <v>30</v>
      </c>
      <c r="N53" t="s">
        <v>19</v>
      </c>
      <c r="O53">
        <f>VLOOKUP(Table5[[#This Row],[currency]],Table3[],2)</f>
        <v>1.49576325</v>
      </c>
      <c r="P53" s="18">
        <v>4313</v>
      </c>
      <c r="Q53" s="32">
        <f>Table5[[#This Row],[pledged]]*Table5[[#This Row],[Exchange_rate]]</f>
        <v>6451.2268972499996</v>
      </c>
      <c r="R53" s="33">
        <f>ROUND(Table5[[#This Row],[Pledged_USD]],0)</f>
        <v>6451</v>
      </c>
      <c r="S53" s="35">
        <v>3000</v>
      </c>
      <c r="T53" s="35">
        <f>VALUE(Table5[[#This Row],[goal_USD]])</f>
        <v>3000</v>
      </c>
      <c r="U53" t="s">
        <v>385</v>
      </c>
      <c r="V53" t="s">
        <v>650</v>
      </c>
      <c r="W53" t="str">
        <f t="shared" si="14"/>
        <v>Wales, England</v>
      </c>
      <c r="X53" t="s">
        <v>526</v>
      </c>
      <c r="Y53" t="str">
        <f t="shared" si="15"/>
        <v>United Kingdom</v>
      </c>
      <c r="Z53" t="s">
        <v>107</v>
      </c>
      <c r="AA53">
        <f t="shared" si="16"/>
        <v>54</v>
      </c>
      <c r="AB53" t="str">
        <f t="shared" si="17"/>
        <v>playing%20cards</v>
      </c>
      <c r="AC53" t="str">
        <f>SUBSTITUTE(Table5[[#This Row],[source_url_category]], "%20", " ")</f>
        <v>playing cards</v>
      </c>
      <c r="AD53" s="2" t="b">
        <v>0</v>
      </c>
      <c r="AE53" s="2" t="str">
        <f>LOWER(Table5[[#This Row],[staff_pick]])</f>
        <v>false</v>
      </c>
      <c r="AF53" t="s">
        <v>16</v>
      </c>
      <c r="AH53" s="19">
        <v>2145</v>
      </c>
      <c r="AI53" s="10"/>
    </row>
    <row r="54" spans="1:35" x14ac:dyDescent="0.2">
      <c r="A54" s="18">
        <v>614983062</v>
      </c>
      <c r="B54" t="s">
        <v>157</v>
      </c>
      <c r="C54" t="str">
        <f>CONCATENATE(Table5[[#This Row],[id]], "-", PROPER(Table5[[#This Row],[name]]))</f>
        <v>614983062-The Umerican Road Atlas And Umerica Unnatural</v>
      </c>
      <c r="D54" s="1">
        <v>43554</v>
      </c>
      <c r="E54" s="1">
        <v>43560</v>
      </c>
      <c r="F54" s="1">
        <v>43592</v>
      </c>
      <c r="G54" s="18">
        <f t="shared" si="5"/>
        <v>32</v>
      </c>
      <c r="H54" s="18">
        <f t="shared" si="6"/>
        <v>5</v>
      </c>
      <c r="I54" s="18">
        <f t="shared" si="7"/>
        <v>4</v>
      </c>
      <c r="J54" s="5" t="b">
        <f t="shared" si="8"/>
        <v>0</v>
      </c>
      <c r="K54" s="28">
        <v>341</v>
      </c>
      <c r="L54" s="28">
        <f t="shared" si="13"/>
        <v>341</v>
      </c>
      <c r="M54" s="22">
        <f t="shared" si="9"/>
        <v>32</v>
      </c>
      <c r="N54" t="s">
        <v>15</v>
      </c>
      <c r="O54">
        <f>VLOOKUP(Table5[[#This Row],[currency]],Table3[],2)</f>
        <v>1</v>
      </c>
      <c r="P54" s="18">
        <v>13032</v>
      </c>
      <c r="Q54" s="32">
        <f>Table5[[#This Row],[pledged]]*Table5[[#This Row],[Exchange_rate]]</f>
        <v>13032</v>
      </c>
      <c r="R54" s="33">
        <f>ROUND(Table5[[#This Row],[Pledged_USD]],0)</f>
        <v>13032</v>
      </c>
      <c r="S54" s="35">
        <v>10000</v>
      </c>
      <c r="T54" s="35">
        <f>VALUE(Table5[[#This Row],[goal_USD]])</f>
        <v>10000</v>
      </c>
      <c r="U54" t="s">
        <v>448</v>
      </c>
      <c r="V54" t="s">
        <v>663</v>
      </c>
      <c r="W54" t="str">
        <f t="shared" si="14"/>
        <v>Naperville, IL</v>
      </c>
      <c r="X54" t="s">
        <v>527</v>
      </c>
      <c r="Y54" t="str">
        <f t="shared" si="15"/>
        <v>United States</v>
      </c>
      <c r="Z54" t="s">
        <v>38</v>
      </c>
      <c r="AA54">
        <f t="shared" si="16"/>
        <v>54</v>
      </c>
      <c r="AB54" t="str">
        <f t="shared" si="17"/>
        <v>tabletop%20games</v>
      </c>
      <c r="AC54" t="str">
        <f>SUBSTITUTE(Table5[[#This Row],[source_url_category]], "%20", " ")</f>
        <v>tabletop games</v>
      </c>
      <c r="AD54" s="2" t="b">
        <v>0</v>
      </c>
      <c r="AE54" s="2" t="str">
        <f>LOWER(Table5[[#This Row],[staff_pick]])</f>
        <v>false</v>
      </c>
      <c r="AF54" t="s">
        <v>16</v>
      </c>
      <c r="AH54" s="19">
        <v>2612</v>
      </c>
      <c r="AI54" s="10"/>
    </row>
    <row r="55" spans="1:35" x14ac:dyDescent="0.2">
      <c r="A55" s="18">
        <v>675733053</v>
      </c>
      <c r="B55" t="s">
        <v>98</v>
      </c>
      <c r="C55" t="str">
        <f>CONCATENATE(Table5[[#This Row],[id]], "-", PROPER(Table5[[#This Row],[name]]))</f>
        <v>675733053-Fantasy Towers In Stl Format For 3D Printing</v>
      </c>
      <c r="D55" s="1">
        <v>43556</v>
      </c>
      <c r="E55" s="1">
        <v>43561</v>
      </c>
      <c r="F55" s="1">
        <v>43576</v>
      </c>
      <c r="G55" s="18">
        <f t="shared" si="5"/>
        <v>15</v>
      </c>
      <c r="H55" s="18">
        <f t="shared" si="6"/>
        <v>6</v>
      </c>
      <c r="I55" s="18">
        <f t="shared" si="7"/>
        <v>4</v>
      </c>
      <c r="J55" s="5" t="b">
        <f t="shared" si="8"/>
        <v>0</v>
      </c>
      <c r="K55" s="29">
        <v>7</v>
      </c>
      <c r="L55" s="29">
        <f t="shared" si="13"/>
        <v>7</v>
      </c>
      <c r="M55" s="22">
        <f t="shared" si="9"/>
        <v>15</v>
      </c>
      <c r="N55" t="s">
        <v>18</v>
      </c>
      <c r="O55">
        <f>VLOOKUP(Table5[[#This Row],[currency]],Table3[],2)</f>
        <v>1.16955371</v>
      </c>
      <c r="P55" s="18">
        <v>197</v>
      </c>
      <c r="Q55" s="32">
        <f>Table5[[#This Row],[pledged]]*Table5[[#This Row],[Exchange_rate]]</f>
        <v>230.40208086999999</v>
      </c>
      <c r="R55" s="33">
        <f>ROUND(Table5[[#This Row],[Pledged_USD]],0)</f>
        <v>230</v>
      </c>
      <c r="S55" s="35">
        <v>100</v>
      </c>
      <c r="T55" s="35">
        <f>VALUE(Table5[[#This Row],[goal_USD]])</f>
        <v>100</v>
      </c>
      <c r="U55" t="s">
        <v>488</v>
      </c>
      <c r="V55" t="s">
        <v>669</v>
      </c>
      <c r="W55" t="str">
        <f t="shared" si="14"/>
        <v>Bretagne, Centre</v>
      </c>
      <c r="X55" t="s">
        <v>530</v>
      </c>
      <c r="Y55" t="str">
        <f t="shared" si="15"/>
        <v>France</v>
      </c>
      <c r="Z55" t="s">
        <v>38</v>
      </c>
      <c r="AA55">
        <f t="shared" si="16"/>
        <v>54</v>
      </c>
      <c r="AB55" t="str">
        <f t="shared" si="17"/>
        <v>tabletop%20games</v>
      </c>
      <c r="AC55" t="str">
        <f>SUBSTITUTE(Table5[[#This Row],[source_url_category]], "%20", " ")</f>
        <v>tabletop games</v>
      </c>
      <c r="AD55" s="2" t="b">
        <v>0</v>
      </c>
      <c r="AE55" s="2" t="str">
        <f>LOWER(Table5[[#This Row],[staff_pick]])</f>
        <v>false</v>
      </c>
      <c r="AF55" t="s">
        <v>16</v>
      </c>
      <c r="AH55" s="19">
        <v>2707</v>
      </c>
      <c r="AI55" s="10"/>
    </row>
    <row r="56" spans="1:35" x14ac:dyDescent="0.2">
      <c r="A56" s="18">
        <v>691012156</v>
      </c>
      <c r="B56" t="s">
        <v>228</v>
      </c>
      <c r="C56" t="str">
        <f>CONCATENATE(Table5[[#This Row],[id]], "-", PROPER(Table5[[#This Row],[name]]))</f>
        <v>691012156-Ashes To Ashes - Ks Exclusive Game</v>
      </c>
      <c r="D56" s="1">
        <v>43558</v>
      </c>
      <c r="E56" s="1">
        <v>43571</v>
      </c>
      <c r="F56" s="1">
        <v>43587</v>
      </c>
      <c r="G56" s="18">
        <f t="shared" si="5"/>
        <v>16</v>
      </c>
      <c r="H56" s="18">
        <f t="shared" si="6"/>
        <v>2</v>
      </c>
      <c r="I56" s="18">
        <f t="shared" si="7"/>
        <v>4</v>
      </c>
      <c r="J56" s="5" t="b">
        <f t="shared" si="8"/>
        <v>0</v>
      </c>
      <c r="K56" s="28">
        <v>26004</v>
      </c>
      <c r="L56" s="28">
        <f t="shared" si="13"/>
        <v>26004</v>
      </c>
      <c r="M56" s="22">
        <f t="shared" si="9"/>
        <v>16</v>
      </c>
      <c r="N56" t="s">
        <v>15</v>
      </c>
      <c r="O56">
        <f>VLOOKUP(Table5[[#This Row],[currency]],Table3[],2)</f>
        <v>1</v>
      </c>
      <c r="P56" s="18">
        <v>1367901.33</v>
      </c>
      <c r="Q56" s="32">
        <f>Table5[[#This Row],[pledged]]*Table5[[#This Row],[Exchange_rate]]</f>
        <v>1367901.33</v>
      </c>
      <c r="R56" s="33">
        <f>ROUND(Table5[[#This Row],[Pledged_USD]],0)</f>
        <v>1367901</v>
      </c>
      <c r="S56" s="35">
        <v>20000</v>
      </c>
      <c r="T56" s="35">
        <f>VALUE(Table5[[#This Row],[goal_USD]])</f>
        <v>20000</v>
      </c>
      <c r="U56" t="s">
        <v>490</v>
      </c>
      <c r="V56" t="s">
        <v>665</v>
      </c>
      <c r="W56" t="str">
        <f t="shared" si="14"/>
        <v>Boynton Beach, FL</v>
      </c>
      <c r="X56" t="s">
        <v>527</v>
      </c>
      <c r="Y56" t="str">
        <f t="shared" si="15"/>
        <v>United States</v>
      </c>
      <c r="Z56" t="s">
        <v>38</v>
      </c>
      <c r="AA56">
        <f t="shared" si="16"/>
        <v>54</v>
      </c>
      <c r="AB56" t="str">
        <f t="shared" si="17"/>
        <v>tabletop%20games</v>
      </c>
      <c r="AC56" t="str">
        <f>SUBSTITUTE(Table5[[#This Row],[source_url_category]], "%20", " ")</f>
        <v>tabletop games</v>
      </c>
      <c r="AD56" s="2" t="b">
        <v>0</v>
      </c>
      <c r="AE56" s="2" t="str">
        <f>LOWER(Table5[[#This Row],[staff_pick]])</f>
        <v>false</v>
      </c>
      <c r="AF56" t="s">
        <v>16</v>
      </c>
      <c r="AH56" s="19">
        <v>2731</v>
      </c>
      <c r="AI56" s="10"/>
    </row>
    <row r="57" spans="1:35" x14ac:dyDescent="0.2">
      <c r="A57" s="18">
        <v>693521123</v>
      </c>
      <c r="B57" t="s">
        <v>220</v>
      </c>
      <c r="C57" t="str">
        <f>CONCATENATE(Table5[[#This Row],[id]], "-", PROPER(Table5[[#This Row],[name]]))</f>
        <v>693521123-Aeon'S End: The New Age</v>
      </c>
      <c r="D57" s="1">
        <v>43564</v>
      </c>
      <c r="E57" s="1">
        <v>43578</v>
      </c>
      <c r="F57" s="1">
        <v>43608</v>
      </c>
      <c r="G57" s="18">
        <f t="shared" si="5"/>
        <v>30</v>
      </c>
      <c r="H57" s="18">
        <f t="shared" si="6"/>
        <v>2</v>
      </c>
      <c r="I57" s="18">
        <f t="shared" si="7"/>
        <v>4</v>
      </c>
      <c r="J57" s="5" t="b">
        <f t="shared" si="8"/>
        <v>0</v>
      </c>
      <c r="K57" s="29">
        <v>71</v>
      </c>
      <c r="L57" s="29">
        <f t="shared" si="13"/>
        <v>71</v>
      </c>
      <c r="M57" s="22">
        <f t="shared" si="9"/>
        <v>30</v>
      </c>
      <c r="N57" t="s">
        <v>15</v>
      </c>
      <c r="O57">
        <f>VLOOKUP(Table5[[#This Row],[currency]],Table3[],2)</f>
        <v>1</v>
      </c>
      <c r="P57" s="18">
        <v>1633</v>
      </c>
      <c r="Q57" s="32">
        <f>Table5[[#This Row],[pledged]]*Table5[[#This Row],[Exchange_rate]]</f>
        <v>1633</v>
      </c>
      <c r="R57" s="33">
        <f>ROUND(Table5[[#This Row],[Pledged_USD]],0)</f>
        <v>1633</v>
      </c>
      <c r="S57" s="35">
        <v>7500</v>
      </c>
      <c r="T57" s="35">
        <f>VALUE(Table5[[#This Row],[goal_USD]])</f>
        <v>7500</v>
      </c>
      <c r="U57" t="s">
        <v>479</v>
      </c>
      <c r="V57" t="s">
        <v>674</v>
      </c>
      <c r="W57" t="str">
        <f t="shared" si="14"/>
        <v>College Park, MD</v>
      </c>
      <c r="X57" t="s">
        <v>527</v>
      </c>
      <c r="Y57" t="str">
        <f t="shared" si="15"/>
        <v>United States</v>
      </c>
      <c r="Z57" t="s">
        <v>107</v>
      </c>
      <c r="AA57">
        <f t="shared" si="16"/>
        <v>54</v>
      </c>
      <c r="AB57" t="str">
        <f t="shared" si="17"/>
        <v>playing%20cards</v>
      </c>
      <c r="AC57" t="str">
        <f>SUBSTITUTE(Table5[[#This Row],[source_url_category]], "%20", " ")</f>
        <v>playing cards</v>
      </c>
      <c r="AD57" s="2" t="b">
        <v>0</v>
      </c>
      <c r="AE57" s="2" t="str">
        <f>LOWER(Table5[[#This Row],[staff_pick]])</f>
        <v>false</v>
      </c>
      <c r="AF57" t="s">
        <v>17</v>
      </c>
      <c r="AH57" s="19">
        <v>3070</v>
      </c>
      <c r="AI57" s="10"/>
    </row>
    <row r="58" spans="1:35" x14ac:dyDescent="0.2">
      <c r="A58" s="18">
        <v>697419301</v>
      </c>
      <c r="B58" t="s">
        <v>161</v>
      </c>
      <c r="C58" t="str">
        <f>CONCATENATE(Table5[[#This Row],[id]], "-", PROPER(Table5[[#This Row],[name]]))</f>
        <v>697419301-The Bridge Of The Damned</v>
      </c>
      <c r="D58" s="1">
        <v>43564</v>
      </c>
      <c r="E58" s="1">
        <v>43574</v>
      </c>
      <c r="F58" s="1">
        <v>43605</v>
      </c>
      <c r="G58" s="18">
        <f t="shared" si="5"/>
        <v>31</v>
      </c>
      <c r="H58" s="18">
        <f t="shared" si="6"/>
        <v>5</v>
      </c>
      <c r="I58" s="18">
        <f t="shared" si="7"/>
        <v>4</v>
      </c>
      <c r="J58" s="5" t="b">
        <f t="shared" si="8"/>
        <v>0</v>
      </c>
      <c r="K58" s="28">
        <v>22</v>
      </c>
      <c r="L58" s="28">
        <f t="shared" si="13"/>
        <v>22</v>
      </c>
      <c r="M58" s="22">
        <f t="shared" si="9"/>
        <v>31</v>
      </c>
      <c r="N58" t="s">
        <v>15</v>
      </c>
      <c r="O58">
        <f>VLOOKUP(Table5[[#This Row],[currency]],Table3[],2)</f>
        <v>1</v>
      </c>
      <c r="P58" s="18">
        <v>1364</v>
      </c>
      <c r="Q58" s="32">
        <f>Table5[[#This Row],[pledged]]*Table5[[#This Row],[Exchange_rate]]</f>
        <v>1364</v>
      </c>
      <c r="R58" s="33">
        <f>ROUND(Table5[[#This Row],[Pledged_USD]],0)</f>
        <v>1364</v>
      </c>
      <c r="S58" s="35">
        <v>5000</v>
      </c>
      <c r="T58" s="35">
        <f>VALUE(Table5[[#This Row],[goal_USD]])</f>
        <v>5000</v>
      </c>
      <c r="U58" t="s">
        <v>411</v>
      </c>
      <c r="V58" t="s">
        <v>666</v>
      </c>
      <c r="W58" t="str">
        <f t="shared" si="14"/>
        <v>Durango, CO</v>
      </c>
      <c r="X58" t="s">
        <v>527</v>
      </c>
      <c r="Y58" t="str">
        <f t="shared" si="15"/>
        <v>United States</v>
      </c>
      <c r="Z58" t="s">
        <v>32</v>
      </c>
      <c r="AA58">
        <f t="shared" si="16"/>
        <v>54</v>
      </c>
      <c r="AB58" t="str">
        <f t="shared" si="17"/>
        <v>puzzles</v>
      </c>
      <c r="AC58" t="str">
        <f>SUBSTITUTE(Table5[[#This Row],[source_url_category]], "%20", " ")</f>
        <v>puzzles</v>
      </c>
      <c r="AD58" s="2" t="b">
        <v>0</v>
      </c>
      <c r="AE58" s="2" t="str">
        <f>LOWER(Table5[[#This Row],[staff_pick]])</f>
        <v>false</v>
      </c>
      <c r="AF58" t="s">
        <v>17</v>
      </c>
      <c r="AH58" s="19">
        <v>3208</v>
      </c>
      <c r="AI58" s="10"/>
    </row>
    <row r="59" spans="1:35" x14ac:dyDescent="0.2">
      <c r="A59" s="18">
        <v>722089197</v>
      </c>
      <c r="B59" t="s">
        <v>265</v>
      </c>
      <c r="C59" t="str">
        <f>CONCATENATE(Table5[[#This Row],[id]], "-", PROPER(Table5[[#This Row],[name]]))</f>
        <v>722089197-Monster Cards: Dnd 5E Reference Cards</v>
      </c>
      <c r="D59" s="1">
        <v>43566</v>
      </c>
      <c r="E59" s="1">
        <v>43572</v>
      </c>
      <c r="F59" s="1">
        <v>43602</v>
      </c>
      <c r="G59" s="18">
        <f t="shared" si="5"/>
        <v>30</v>
      </c>
      <c r="H59" s="18">
        <f t="shared" si="6"/>
        <v>3</v>
      </c>
      <c r="I59" s="18">
        <f t="shared" si="7"/>
        <v>4</v>
      </c>
      <c r="J59" s="5" t="b">
        <f t="shared" si="8"/>
        <v>0</v>
      </c>
      <c r="K59" s="29">
        <v>319</v>
      </c>
      <c r="L59" s="29">
        <f t="shared" si="13"/>
        <v>319</v>
      </c>
      <c r="M59" s="22">
        <f t="shared" si="9"/>
        <v>30</v>
      </c>
      <c r="N59" t="s">
        <v>15</v>
      </c>
      <c r="O59">
        <f>VLOOKUP(Table5[[#This Row],[currency]],Table3[],2)</f>
        <v>1</v>
      </c>
      <c r="P59" s="18">
        <v>27666</v>
      </c>
      <c r="Q59" s="32">
        <f>Table5[[#This Row],[pledged]]*Table5[[#This Row],[Exchange_rate]]</f>
        <v>27666</v>
      </c>
      <c r="R59" s="33">
        <f>ROUND(Table5[[#This Row],[Pledged_USD]],0)</f>
        <v>27666</v>
      </c>
      <c r="S59" s="35">
        <v>10000</v>
      </c>
      <c r="T59" s="35">
        <f>VALUE(Table5[[#This Row],[goal_USD]])</f>
        <v>10000</v>
      </c>
      <c r="U59" t="s">
        <v>401</v>
      </c>
      <c r="V59" t="s">
        <v>667</v>
      </c>
      <c r="W59" t="str">
        <f t="shared" si="14"/>
        <v>Salt Lake City, UT</v>
      </c>
      <c r="X59" t="s">
        <v>527</v>
      </c>
      <c r="Y59" t="str">
        <f t="shared" si="15"/>
        <v>United States</v>
      </c>
      <c r="Z59" t="s">
        <v>38</v>
      </c>
      <c r="AA59">
        <f t="shared" si="16"/>
        <v>54</v>
      </c>
      <c r="AB59" t="str">
        <f t="shared" si="17"/>
        <v>tabletop%20games</v>
      </c>
      <c r="AC59" t="str">
        <f>SUBSTITUTE(Table5[[#This Row],[source_url_category]], "%20", " ")</f>
        <v>tabletop games</v>
      </c>
      <c r="AD59" s="2" t="b">
        <v>0</v>
      </c>
      <c r="AE59" s="2" t="str">
        <f>LOWER(Table5[[#This Row],[staff_pick]])</f>
        <v>false</v>
      </c>
      <c r="AF59" t="s">
        <v>16</v>
      </c>
      <c r="AH59" s="19">
        <v>3511</v>
      </c>
      <c r="AI59" s="10"/>
    </row>
    <row r="60" spans="1:35" x14ac:dyDescent="0.2">
      <c r="A60" s="18">
        <v>746887439</v>
      </c>
      <c r="B60" t="s">
        <v>126</v>
      </c>
      <c r="C60" t="str">
        <f>CONCATENATE(Table5[[#This Row],[id]], "-", PROPER(Table5[[#This Row],[name]]))</f>
        <v>746887439-Cash Quiz Live: Making Ads Fun, Challenging, &amp; Rewarding</v>
      </c>
      <c r="D60" s="1">
        <v>43567</v>
      </c>
      <c r="E60" s="1">
        <v>43582</v>
      </c>
      <c r="F60" s="1">
        <v>43617</v>
      </c>
      <c r="G60" s="18">
        <f t="shared" si="5"/>
        <v>35</v>
      </c>
      <c r="H60" s="18">
        <f t="shared" si="6"/>
        <v>6</v>
      </c>
      <c r="I60" s="18">
        <f t="shared" si="7"/>
        <v>4</v>
      </c>
      <c r="J60" s="5" t="b">
        <f t="shared" si="8"/>
        <v>0</v>
      </c>
      <c r="K60" s="28">
        <v>3</v>
      </c>
      <c r="L60" s="28">
        <f t="shared" si="13"/>
        <v>3</v>
      </c>
      <c r="M60" s="22">
        <f t="shared" si="9"/>
        <v>35</v>
      </c>
      <c r="N60" t="s">
        <v>34</v>
      </c>
      <c r="O60">
        <f>VLOOKUP(Table5[[#This Row],[currency]],Table3[],2)</f>
        <v>0.12847297999999999</v>
      </c>
      <c r="P60" s="18">
        <v>40</v>
      </c>
      <c r="Q60" s="32">
        <f>Table5[[#This Row],[pledged]]*Table5[[#This Row],[Exchange_rate]]</f>
        <v>5.1389191999999992</v>
      </c>
      <c r="R60" s="33">
        <f>ROUND(Table5[[#This Row],[Pledged_USD]],0)</f>
        <v>5</v>
      </c>
      <c r="S60" s="35">
        <v>30000</v>
      </c>
      <c r="T60" s="35">
        <f>VALUE(Table5[[#This Row],[goal_USD]])</f>
        <v>30000</v>
      </c>
      <c r="U60" t="s">
        <v>408</v>
      </c>
      <c r="V60" t="s">
        <v>672</v>
      </c>
      <c r="W60" t="str">
        <f t="shared" si="14"/>
        <v>Hong Kong, Hong Kong Island</v>
      </c>
      <c r="X60" t="s">
        <v>535</v>
      </c>
      <c r="Y60" t="str">
        <f t="shared" si="15"/>
        <v>Hong Kong</v>
      </c>
      <c r="Z60" t="s">
        <v>106</v>
      </c>
      <c r="AA60">
        <f t="shared" si="16"/>
        <v>54</v>
      </c>
      <c r="AB60" t="str">
        <f t="shared" si="17"/>
        <v>mobile%20games</v>
      </c>
      <c r="AC60" t="str">
        <f>SUBSTITUTE(Table5[[#This Row],[source_url_category]], "%20", " ")</f>
        <v>mobile games</v>
      </c>
      <c r="AD60" s="2" t="b">
        <v>0</v>
      </c>
      <c r="AE60" s="2" t="str">
        <f>LOWER(Table5[[#This Row],[staff_pick]])</f>
        <v>false</v>
      </c>
      <c r="AF60" t="s">
        <v>17</v>
      </c>
      <c r="AH60" s="19">
        <v>3659.32</v>
      </c>
      <c r="AI60" s="10"/>
    </row>
    <row r="61" spans="1:35" x14ac:dyDescent="0.2">
      <c r="A61" s="18">
        <v>757326786</v>
      </c>
      <c r="B61" t="s">
        <v>250</v>
      </c>
      <c r="C61" t="str">
        <f>CONCATENATE(Table5[[#This Row],[id]], "-", PROPER(Table5[[#This Row],[name]]))</f>
        <v>757326786-Dice &amp; Ink: A Roll &amp; Write Anthology</v>
      </c>
      <c r="D61" s="1">
        <v>43570</v>
      </c>
      <c r="E61" s="1">
        <v>43603</v>
      </c>
      <c r="F61" s="1">
        <v>43623</v>
      </c>
      <c r="G61" s="18">
        <f t="shared" si="5"/>
        <v>20</v>
      </c>
      <c r="H61" s="18">
        <f t="shared" si="6"/>
        <v>6</v>
      </c>
      <c r="I61" s="18">
        <f t="shared" si="7"/>
        <v>5</v>
      </c>
      <c r="J61" s="5" t="b">
        <f t="shared" si="8"/>
        <v>0</v>
      </c>
      <c r="K61" s="29">
        <v>193</v>
      </c>
      <c r="L61" s="29">
        <f t="shared" si="13"/>
        <v>193</v>
      </c>
      <c r="M61" s="22">
        <f t="shared" si="9"/>
        <v>20</v>
      </c>
      <c r="N61" t="s">
        <v>15</v>
      </c>
      <c r="O61">
        <f>VLOOKUP(Table5[[#This Row],[currency]],Table3[],2)</f>
        <v>1</v>
      </c>
      <c r="P61" s="18">
        <v>10558</v>
      </c>
      <c r="Q61" s="32">
        <f>Table5[[#This Row],[pledged]]*Table5[[#This Row],[Exchange_rate]]</f>
        <v>10558</v>
      </c>
      <c r="R61" s="33">
        <f>ROUND(Table5[[#This Row],[Pledged_USD]],0)</f>
        <v>10558</v>
      </c>
      <c r="S61" s="35">
        <v>4500</v>
      </c>
      <c r="T61" s="35">
        <f>VALUE(Table5[[#This Row],[goal_USD]])</f>
        <v>4500</v>
      </c>
      <c r="U61" t="s">
        <v>451</v>
      </c>
      <c r="V61" t="s">
        <v>23</v>
      </c>
      <c r="W61" t="str">
        <f t="shared" si="14"/>
        <v>Hayward, CA</v>
      </c>
      <c r="X61" t="s">
        <v>527</v>
      </c>
      <c r="Y61" t="str">
        <f t="shared" si="15"/>
        <v>United States</v>
      </c>
      <c r="Z61" t="s">
        <v>107</v>
      </c>
      <c r="AA61">
        <f t="shared" si="16"/>
        <v>54</v>
      </c>
      <c r="AB61" t="str">
        <f t="shared" si="17"/>
        <v>playing%20cards</v>
      </c>
      <c r="AC61" t="str">
        <f>SUBSTITUTE(Table5[[#This Row],[source_url_category]], "%20", " ")</f>
        <v>playing cards</v>
      </c>
      <c r="AD61" s="2" t="b">
        <v>0</v>
      </c>
      <c r="AE61" s="2" t="str">
        <f>LOWER(Table5[[#This Row],[staff_pick]])</f>
        <v>false</v>
      </c>
      <c r="AF61" t="s">
        <v>16</v>
      </c>
      <c r="AH61" s="19">
        <v>3850</v>
      </c>
      <c r="AI61" s="10"/>
    </row>
    <row r="62" spans="1:35" x14ac:dyDescent="0.2">
      <c r="A62" s="18">
        <v>795830281</v>
      </c>
      <c r="B62" t="s">
        <v>253</v>
      </c>
      <c r="C62" t="str">
        <f>CONCATENATE(Table5[[#This Row],[id]], "-", PROPER(Table5[[#This Row],[name]]))</f>
        <v>795830281-Japanese Mythology For Dungeons &amp; Dragons 5E And Pathfinder</v>
      </c>
      <c r="D62" s="1">
        <v>43571</v>
      </c>
      <c r="E62" s="1">
        <v>43572</v>
      </c>
      <c r="F62" s="1">
        <v>43586</v>
      </c>
      <c r="G62" s="18">
        <f t="shared" si="5"/>
        <v>14</v>
      </c>
      <c r="H62" s="18">
        <f t="shared" si="6"/>
        <v>3</v>
      </c>
      <c r="I62" s="18">
        <f t="shared" si="7"/>
        <v>4</v>
      </c>
      <c r="J62" s="5" t="b">
        <f t="shared" si="8"/>
        <v>0</v>
      </c>
      <c r="K62" s="28">
        <v>36</v>
      </c>
      <c r="L62" s="28">
        <f t="shared" si="13"/>
        <v>36</v>
      </c>
      <c r="M62" s="22">
        <f t="shared" si="9"/>
        <v>14</v>
      </c>
      <c r="N62" t="s">
        <v>15</v>
      </c>
      <c r="O62">
        <f>VLOOKUP(Table5[[#This Row],[currency]],Table3[],2)</f>
        <v>1</v>
      </c>
      <c r="P62" s="18">
        <v>989</v>
      </c>
      <c r="Q62" s="32">
        <f>Table5[[#This Row],[pledged]]*Table5[[#This Row],[Exchange_rate]]</f>
        <v>989</v>
      </c>
      <c r="R62" s="33">
        <f>ROUND(Table5[[#This Row],[Pledged_USD]],0)</f>
        <v>989</v>
      </c>
      <c r="S62" s="35">
        <v>500</v>
      </c>
      <c r="T62" s="35">
        <f>VALUE(Table5[[#This Row],[goal_USD]])</f>
        <v>500</v>
      </c>
      <c r="U62" t="s">
        <v>440</v>
      </c>
      <c r="V62" t="s">
        <v>675</v>
      </c>
      <c r="W62" t="str">
        <f t="shared" si="14"/>
        <v>Carrollton, GA</v>
      </c>
      <c r="X62" t="s">
        <v>527</v>
      </c>
      <c r="Y62" t="str">
        <f t="shared" si="15"/>
        <v>United States</v>
      </c>
      <c r="Z62" t="s">
        <v>38</v>
      </c>
      <c r="AA62">
        <f t="shared" si="16"/>
        <v>54</v>
      </c>
      <c r="AB62" t="str">
        <f t="shared" si="17"/>
        <v>tabletop%20games</v>
      </c>
      <c r="AC62" t="str">
        <f>SUBSTITUTE(Table5[[#This Row],[source_url_category]], "%20", " ")</f>
        <v>tabletop games</v>
      </c>
      <c r="AD62" s="2" t="b">
        <v>0</v>
      </c>
      <c r="AE62" s="2" t="str">
        <f>LOWER(Table5[[#This Row],[staff_pick]])</f>
        <v>false</v>
      </c>
      <c r="AF62" t="s">
        <v>16</v>
      </c>
      <c r="AH62" s="19">
        <v>3886</v>
      </c>
      <c r="AI62" s="10"/>
    </row>
    <row r="63" spans="1:35" x14ac:dyDescent="0.2">
      <c r="A63" s="18">
        <v>799327001</v>
      </c>
      <c r="B63" t="s">
        <v>217</v>
      </c>
      <c r="C63" t="str">
        <f>CONCATENATE(Table5[[#This Row],[id]], "-", PROPER(Table5[[#This Row],[name]]))</f>
        <v>799327001-28Mm Scale Orc Defence Turrets</v>
      </c>
      <c r="D63" s="1">
        <v>43574</v>
      </c>
      <c r="E63" s="1">
        <v>43641</v>
      </c>
      <c r="F63" s="1">
        <v>43661</v>
      </c>
      <c r="G63" s="18">
        <f t="shared" si="5"/>
        <v>20</v>
      </c>
      <c r="H63" s="18">
        <f t="shared" si="6"/>
        <v>2</v>
      </c>
      <c r="I63" s="18">
        <f t="shared" si="7"/>
        <v>6</v>
      </c>
      <c r="J63" s="5" t="b">
        <f t="shared" si="8"/>
        <v>0</v>
      </c>
      <c r="K63" s="29">
        <v>208</v>
      </c>
      <c r="L63" s="29">
        <f t="shared" si="13"/>
        <v>208</v>
      </c>
      <c r="M63" s="22">
        <f t="shared" si="9"/>
        <v>20</v>
      </c>
      <c r="N63" t="s">
        <v>15</v>
      </c>
      <c r="O63">
        <f>VLOOKUP(Table5[[#This Row],[currency]],Table3[],2)</f>
        <v>1</v>
      </c>
      <c r="P63" s="18">
        <v>4127</v>
      </c>
      <c r="Q63" s="32">
        <f>Table5[[#This Row],[pledged]]*Table5[[#This Row],[Exchange_rate]]</f>
        <v>4127</v>
      </c>
      <c r="R63" s="33">
        <f>ROUND(Table5[[#This Row],[Pledged_USD]],0)</f>
        <v>4127</v>
      </c>
      <c r="S63" s="35">
        <v>1500</v>
      </c>
      <c r="T63" s="35">
        <f>VALUE(Table5[[#This Row],[goal_USD]])</f>
        <v>1500</v>
      </c>
      <c r="U63" t="s">
        <v>374</v>
      </c>
      <c r="V63" t="s">
        <v>662</v>
      </c>
      <c r="W63" t="str">
        <f t="shared" si="14"/>
        <v>Detroit, MI</v>
      </c>
      <c r="X63" t="s">
        <v>527</v>
      </c>
      <c r="Y63" t="str">
        <f t="shared" si="15"/>
        <v>United States</v>
      </c>
      <c r="Z63" t="s">
        <v>38</v>
      </c>
      <c r="AA63">
        <f t="shared" si="16"/>
        <v>54</v>
      </c>
      <c r="AB63" t="str">
        <f t="shared" si="17"/>
        <v>tabletop%20games</v>
      </c>
      <c r="AC63" t="str">
        <f>SUBSTITUTE(Table5[[#This Row],[source_url_category]], "%20", " ")</f>
        <v>tabletop games</v>
      </c>
      <c r="AD63" s="2" t="b">
        <v>0</v>
      </c>
      <c r="AE63" s="2" t="str">
        <f>LOWER(Table5[[#This Row],[staff_pick]])</f>
        <v>false</v>
      </c>
      <c r="AF63" t="s">
        <v>16</v>
      </c>
      <c r="AH63" s="19">
        <v>4046.69</v>
      </c>
      <c r="AI63" s="10"/>
    </row>
    <row r="64" spans="1:35" x14ac:dyDescent="0.2">
      <c r="A64" s="18">
        <v>833136941</v>
      </c>
      <c r="B64" t="s">
        <v>259</v>
      </c>
      <c r="C64" t="str">
        <f>CONCATENATE(Table5[[#This Row],[id]], "-", PROPER(Table5[[#This Row],[name]]))</f>
        <v>833136941-Alkemy, Rados Cults</v>
      </c>
      <c r="D64" s="1">
        <v>43574</v>
      </c>
      <c r="E64" s="1">
        <v>43586</v>
      </c>
      <c r="F64" s="1">
        <v>43611</v>
      </c>
      <c r="G64" s="18">
        <f t="shared" si="5"/>
        <v>25</v>
      </c>
      <c r="H64" s="18">
        <f t="shared" si="6"/>
        <v>3</v>
      </c>
      <c r="I64" s="18">
        <f t="shared" si="7"/>
        <v>5</v>
      </c>
      <c r="J64" s="5" t="b">
        <f t="shared" si="8"/>
        <v>0</v>
      </c>
      <c r="K64" s="28">
        <v>893</v>
      </c>
      <c r="L64" s="28">
        <f t="shared" si="13"/>
        <v>893</v>
      </c>
      <c r="M64" s="22">
        <f t="shared" si="9"/>
        <v>25</v>
      </c>
      <c r="N64" t="s">
        <v>18</v>
      </c>
      <c r="O64">
        <f>VLOOKUP(Table5[[#This Row],[currency]],Table3[],2)</f>
        <v>1.16955371</v>
      </c>
      <c r="P64" s="18">
        <v>44556</v>
      </c>
      <c r="Q64" s="32">
        <f>Table5[[#This Row],[pledged]]*Table5[[#This Row],[Exchange_rate]]</f>
        <v>52110.635102759996</v>
      </c>
      <c r="R64" s="33">
        <f>ROUND(Table5[[#This Row],[Pledged_USD]],0)</f>
        <v>52111</v>
      </c>
      <c r="S64" s="35">
        <v>28000</v>
      </c>
      <c r="T64" s="35">
        <f>VALUE(Table5[[#This Row],[goal_USD]])</f>
        <v>28000</v>
      </c>
      <c r="U64" t="s">
        <v>501</v>
      </c>
      <c r="V64" t="s">
        <v>676</v>
      </c>
      <c r="W64" t="str">
        <f t="shared" si="14"/>
        <v>Perugia, Umbria</v>
      </c>
      <c r="X64" t="s">
        <v>533</v>
      </c>
      <c r="Y64" t="str">
        <f t="shared" si="15"/>
        <v>Italy</v>
      </c>
      <c r="Z64" t="s">
        <v>38</v>
      </c>
      <c r="AA64">
        <f t="shared" si="16"/>
        <v>54</v>
      </c>
      <c r="AB64" t="str">
        <f t="shared" si="17"/>
        <v>tabletop%20games</v>
      </c>
      <c r="AC64" t="str">
        <f>SUBSTITUTE(Table5[[#This Row],[source_url_category]], "%20", " ")</f>
        <v>tabletop games</v>
      </c>
      <c r="AD64" s="2" t="b">
        <v>0</v>
      </c>
      <c r="AE64" s="2" t="str">
        <f>LOWER(Table5[[#This Row],[staff_pick]])</f>
        <v>false</v>
      </c>
      <c r="AF64" t="s">
        <v>16</v>
      </c>
      <c r="AH64" s="19">
        <v>4127</v>
      </c>
      <c r="AI64" s="10"/>
    </row>
    <row r="65" spans="1:35" x14ac:dyDescent="0.2">
      <c r="A65" s="18">
        <v>851252173</v>
      </c>
      <c r="B65" t="s">
        <v>129</v>
      </c>
      <c r="C65" t="str">
        <f>CONCATENATE(Table5[[#This Row],[id]], "-", PROPER(Table5[[#This Row],[name]]))</f>
        <v>851252173-Nude Figure Playing Cards</v>
      </c>
      <c r="D65" s="1">
        <v>43575</v>
      </c>
      <c r="E65" s="1">
        <v>43593</v>
      </c>
      <c r="F65" s="1">
        <v>43623</v>
      </c>
      <c r="G65" s="18">
        <f t="shared" si="5"/>
        <v>30</v>
      </c>
      <c r="H65" s="18">
        <f t="shared" si="6"/>
        <v>3</v>
      </c>
      <c r="I65" s="18">
        <f t="shared" si="7"/>
        <v>5</v>
      </c>
      <c r="J65" s="5" t="b">
        <f t="shared" si="8"/>
        <v>0</v>
      </c>
      <c r="K65" s="29">
        <v>23</v>
      </c>
      <c r="L65" s="29">
        <f t="shared" si="13"/>
        <v>23</v>
      </c>
      <c r="M65" s="22">
        <f t="shared" si="9"/>
        <v>30</v>
      </c>
      <c r="N65" t="s">
        <v>15</v>
      </c>
      <c r="O65">
        <f>VLOOKUP(Table5[[#This Row],[currency]],Table3[],2)</f>
        <v>1</v>
      </c>
      <c r="P65" s="18">
        <v>1966</v>
      </c>
      <c r="Q65" s="32">
        <f>Table5[[#This Row],[pledged]]*Table5[[#This Row],[Exchange_rate]]</f>
        <v>1966</v>
      </c>
      <c r="R65" s="33">
        <f>ROUND(Table5[[#This Row],[Pledged_USD]],0)</f>
        <v>1966</v>
      </c>
      <c r="S65" s="35">
        <v>75000</v>
      </c>
      <c r="T65" s="35">
        <f>VALUE(Table5[[#This Row],[goal_USD]])</f>
        <v>75000</v>
      </c>
      <c r="U65" t="s">
        <v>417</v>
      </c>
      <c r="V65" t="s">
        <v>651</v>
      </c>
      <c r="W65" t="str">
        <f t="shared" si="14"/>
        <v>Redmond, WA</v>
      </c>
      <c r="X65" t="s">
        <v>527</v>
      </c>
      <c r="Y65" t="str">
        <f t="shared" si="15"/>
        <v>United States</v>
      </c>
      <c r="Z65" t="s">
        <v>41</v>
      </c>
      <c r="AA65">
        <f t="shared" si="16"/>
        <v>54</v>
      </c>
      <c r="AB65" t="str">
        <f t="shared" si="17"/>
        <v>live%20games</v>
      </c>
      <c r="AC65" t="str">
        <f>SUBSTITUTE(Table5[[#This Row],[source_url_category]], "%20", " ")</f>
        <v>live games</v>
      </c>
      <c r="AD65" s="2" t="b">
        <v>0</v>
      </c>
      <c r="AE65" s="2" t="str">
        <f>LOWER(Table5[[#This Row],[staff_pick]])</f>
        <v>false</v>
      </c>
      <c r="AF65" t="s">
        <v>17</v>
      </c>
      <c r="AH65" s="19">
        <v>4212</v>
      </c>
      <c r="AI65" s="10"/>
    </row>
    <row r="66" spans="1:35" x14ac:dyDescent="0.2">
      <c r="A66" s="18">
        <v>859519481</v>
      </c>
      <c r="B66" t="s">
        <v>705</v>
      </c>
      <c r="C66" t="str">
        <f>CONCATENATE(Table5[[#This Row],[id]], "-", PROPER(Table5[[#This Row],[name]]))</f>
        <v>859519481-Musical Breakout</v>
      </c>
      <c r="D66" s="1">
        <v>43575</v>
      </c>
      <c r="E66" s="1">
        <v>43586</v>
      </c>
      <c r="F66" s="1">
        <v>43622</v>
      </c>
      <c r="G66" s="18">
        <f t="shared" si="5"/>
        <v>36</v>
      </c>
      <c r="H66" s="18">
        <f t="shared" si="6"/>
        <v>3</v>
      </c>
      <c r="I66" s="18">
        <f t="shared" si="7"/>
        <v>5</v>
      </c>
      <c r="J66" s="5" t="b">
        <f t="shared" si="8"/>
        <v>0</v>
      </c>
      <c r="K66" s="28">
        <v>1273</v>
      </c>
      <c r="L66" s="28">
        <f t="shared" ref="L66:L97" si="18">IF(OR(I66=1,I66=9), IF(AND(U66="Vancouver", Y66= "Canada"),K66+5, K66), K66)</f>
        <v>1273</v>
      </c>
      <c r="M66" s="22">
        <f t="shared" si="9"/>
        <v>36</v>
      </c>
      <c r="N66" t="s">
        <v>15</v>
      </c>
      <c r="O66">
        <f>VLOOKUP(Table5[[#This Row],[currency]],Table3[],2)</f>
        <v>1</v>
      </c>
      <c r="P66" s="18">
        <v>166304</v>
      </c>
      <c r="Q66" s="32">
        <f>Table5[[#This Row],[pledged]]*Table5[[#This Row],[Exchange_rate]]</f>
        <v>166304</v>
      </c>
      <c r="R66" s="33">
        <f>ROUND(Table5[[#This Row],[Pledged_USD]],0)</f>
        <v>166304</v>
      </c>
      <c r="S66" s="35">
        <v>15000</v>
      </c>
      <c r="T66" s="35">
        <f>VALUE(Table5[[#This Row],[goal_USD]])</f>
        <v>15000</v>
      </c>
      <c r="U66" t="s">
        <v>396</v>
      </c>
      <c r="V66" t="s">
        <v>663</v>
      </c>
      <c r="W66" t="str">
        <f t="shared" ref="W66:W97" si="19">CONCATENATE(U66, ", ", V66)</f>
        <v>Bloomington, IL</v>
      </c>
      <c r="X66" t="s">
        <v>527</v>
      </c>
      <c r="Y66" t="str">
        <f t="shared" ref="Y66:Y97" si="20">TRIM(X66)</f>
        <v>United States</v>
      </c>
      <c r="Z66" t="s">
        <v>38</v>
      </c>
      <c r="AA66">
        <f t="shared" ref="AA66:AA97" si="21">LEN("https://www.kickstarter.com/discover/categories/games/")</f>
        <v>54</v>
      </c>
      <c r="AB66" t="str">
        <f t="shared" ref="AB66:AB97" si="22">RIGHT(Z66,LEN(Z66)-54)</f>
        <v>tabletop%20games</v>
      </c>
      <c r="AC66" t="str">
        <f>SUBSTITUTE(Table5[[#This Row],[source_url_category]], "%20", " ")</f>
        <v>tabletop games</v>
      </c>
      <c r="AD66" s="2" t="b">
        <v>0</v>
      </c>
      <c r="AE66" s="2" t="str">
        <f>LOWER(Table5[[#This Row],[staff_pick]])</f>
        <v>false</v>
      </c>
      <c r="AF66" t="s">
        <v>16</v>
      </c>
      <c r="AH66" s="19">
        <v>4313</v>
      </c>
      <c r="AI66" s="10"/>
    </row>
    <row r="67" spans="1:35" x14ac:dyDescent="0.2">
      <c r="A67" s="18">
        <v>887539225</v>
      </c>
      <c r="B67" t="s">
        <v>134</v>
      </c>
      <c r="C67" t="str">
        <f>CONCATENATE(Table5[[#This Row],[id]], "-", PROPER(Table5[[#This Row],[name]]))</f>
        <v>887539225-Equality // Integrity \\\\ Justice Playing Cards</v>
      </c>
      <c r="D67" s="1">
        <v>43576</v>
      </c>
      <c r="E67" s="1">
        <v>43586</v>
      </c>
      <c r="F67" s="1">
        <v>43616</v>
      </c>
      <c r="G67" s="18">
        <f t="shared" ref="G67:G130" si="23">F67-E67</f>
        <v>30</v>
      </c>
      <c r="H67" s="18">
        <f t="shared" ref="H67:H130" si="24">WEEKDAY(E67,2)</f>
        <v>3</v>
      </c>
      <c r="I67" s="18">
        <f t="shared" ref="I67:I130" si="25">MONTH(E67)</f>
        <v>5</v>
      </c>
      <c r="J67" s="5" t="b">
        <f t="shared" ref="J67:J104" si="26">EXACT(D67,E67)</f>
        <v>0</v>
      </c>
      <c r="K67" s="29">
        <v>36</v>
      </c>
      <c r="L67" s="29">
        <f t="shared" si="18"/>
        <v>36</v>
      </c>
      <c r="M67" s="22">
        <f t="shared" ref="M67:M130" si="27">F67-E67</f>
        <v>30</v>
      </c>
      <c r="N67" t="s">
        <v>15</v>
      </c>
      <c r="O67">
        <f>VLOOKUP(Table5[[#This Row],[currency]],Table3[],2)</f>
        <v>1</v>
      </c>
      <c r="P67" s="18">
        <v>3511</v>
      </c>
      <c r="Q67" s="32">
        <f>Table5[[#This Row],[pledged]]*Table5[[#This Row],[Exchange_rate]]</f>
        <v>3511</v>
      </c>
      <c r="R67" s="33">
        <f>ROUND(Table5[[#This Row],[Pledged_USD]],0)</f>
        <v>3511</v>
      </c>
      <c r="S67" s="35">
        <v>2000</v>
      </c>
      <c r="T67" s="35">
        <f>VALUE(Table5[[#This Row],[goal_USD]])</f>
        <v>2000</v>
      </c>
      <c r="U67" t="s">
        <v>421</v>
      </c>
      <c r="V67" t="s">
        <v>23</v>
      </c>
      <c r="W67" t="str">
        <f t="shared" si="19"/>
        <v>Pasadena, CA</v>
      </c>
      <c r="X67" t="s">
        <v>527</v>
      </c>
      <c r="Y67" t="str">
        <f t="shared" si="20"/>
        <v>United States</v>
      </c>
      <c r="Z67" t="s">
        <v>32</v>
      </c>
      <c r="AA67">
        <f t="shared" si="21"/>
        <v>54</v>
      </c>
      <c r="AB67" t="str">
        <f t="shared" si="22"/>
        <v>puzzles</v>
      </c>
      <c r="AC67" t="str">
        <f>SUBSTITUTE(Table5[[#This Row],[source_url_category]], "%20", " ")</f>
        <v>puzzles</v>
      </c>
      <c r="AD67" s="2" t="b">
        <v>0</v>
      </c>
      <c r="AE67" s="2" t="str">
        <f>LOWER(Table5[[#This Row],[staff_pick]])</f>
        <v>false</v>
      </c>
      <c r="AF67" t="s">
        <v>16</v>
      </c>
      <c r="AH67" s="19">
        <v>4408.29</v>
      </c>
      <c r="AI67" s="10"/>
    </row>
    <row r="68" spans="1:35" x14ac:dyDescent="0.2">
      <c r="A68" s="18">
        <v>919862684</v>
      </c>
      <c r="B68" t="s">
        <v>83</v>
      </c>
      <c r="C68" t="str">
        <f>CONCATENATE(Table5[[#This Row],[id]], "-", PROPER(Table5[[#This Row],[name]]))</f>
        <v>919862684-Tabletop Terrain From Xps Foam: Buildings</v>
      </c>
      <c r="D68" s="1">
        <v>43579</v>
      </c>
      <c r="E68" s="1">
        <v>43640</v>
      </c>
      <c r="F68" s="1">
        <v>43685</v>
      </c>
      <c r="G68" s="18">
        <f t="shared" si="23"/>
        <v>45</v>
      </c>
      <c r="H68" s="18">
        <f t="shared" si="24"/>
        <v>1</v>
      </c>
      <c r="I68" s="18">
        <f t="shared" si="25"/>
        <v>6</v>
      </c>
      <c r="J68" s="5" t="b">
        <f t="shared" si="26"/>
        <v>0</v>
      </c>
      <c r="K68" s="28">
        <v>8504</v>
      </c>
      <c r="L68" s="28">
        <f t="shared" si="18"/>
        <v>8504</v>
      </c>
      <c r="M68" s="22">
        <f t="shared" si="27"/>
        <v>45</v>
      </c>
      <c r="N68" t="s">
        <v>28</v>
      </c>
      <c r="O68">
        <f>VLOOKUP(Table5[[#This Row],[currency]],Table3[],2)</f>
        <v>0.11943536</v>
      </c>
      <c r="P68" s="18">
        <v>3542035.74</v>
      </c>
      <c r="Q68" s="32">
        <f>Table5[[#This Row],[pledged]]*Table5[[#This Row],[Exchange_rate]]</f>
        <v>423044.31373976642</v>
      </c>
      <c r="R68" s="33">
        <f>ROUND(Table5[[#This Row],[Pledged_USD]],0)</f>
        <v>423044</v>
      </c>
      <c r="S68" s="35">
        <v>1079668</v>
      </c>
      <c r="T68" s="35">
        <f>VALUE(Table5[[#This Row],[goal_USD]])</f>
        <v>1079668</v>
      </c>
      <c r="U68" t="s">
        <v>359</v>
      </c>
      <c r="V68" t="s">
        <v>677</v>
      </c>
      <c r="W68" t="str">
        <f t="shared" si="19"/>
        <v>Oslo, Oslo Fylke</v>
      </c>
      <c r="X68" t="s">
        <v>541</v>
      </c>
      <c r="Y68" t="str">
        <f t="shared" si="20"/>
        <v>Norway</v>
      </c>
      <c r="Z68" t="s">
        <v>38</v>
      </c>
      <c r="AA68">
        <f t="shared" si="21"/>
        <v>54</v>
      </c>
      <c r="AB68" t="str">
        <f t="shared" si="22"/>
        <v>tabletop%20games</v>
      </c>
      <c r="AC68" t="str">
        <f>SUBSTITUTE(Table5[[#This Row],[source_url_category]], "%20", " ")</f>
        <v>tabletop games</v>
      </c>
      <c r="AD68" s="2" t="b">
        <v>0</v>
      </c>
      <c r="AE68" s="2" t="str">
        <f>LOWER(Table5[[#This Row],[staff_pick]])</f>
        <v>false</v>
      </c>
      <c r="AF68" t="s">
        <v>16</v>
      </c>
      <c r="AH68" s="19">
        <v>4527</v>
      </c>
      <c r="AI68" s="10"/>
    </row>
    <row r="69" spans="1:35" x14ac:dyDescent="0.2">
      <c r="A69" s="18">
        <v>921603041</v>
      </c>
      <c r="B69" t="s">
        <v>270</v>
      </c>
      <c r="C69" t="str">
        <f>CONCATENATE(Table5[[#This Row],[id]], "-", PROPER(Table5[[#This Row],[name]]))</f>
        <v>921603041-Critical Dice</v>
      </c>
      <c r="D69" s="1">
        <v>43580</v>
      </c>
      <c r="E69" s="1">
        <v>43599</v>
      </c>
      <c r="F69" s="1">
        <v>43623</v>
      </c>
      <c r="G69" s="18">
        <f t="shared" si="23"/>
        <v>24</v>
      </c>
      <c r="H69" s="18">
        <f t="shared" si="24"/>
        <v>2</v>
      </c>
      <c r="I69" s="18">
        <f t="shared" si="25"/>
        <v>5</v>
      </c>
      <c r="J69" s="5" t="b">
        <f t="shared" si="26"/>
        <v>0</v>
      </c>
      <c r="K69" s="29">
        <v>2848</v>
      </c>
      <c r="L69" s="29">
        <f t="shared" si="18"/>
        <v>2848</v>
      </c>
      <c r="M69" s="22">
        <f t="shared" si="27"/>
        <v>24</v>
      </c>
      <c r="N69" t="s">
        <v>15</v>
      </c>
      <c r="O69">
        <f>VLOOKUP(Table5[[#This Row],[currency]],Table3[],2)</f>
        <v>1</v>
      </c>
      <c r="P69" s="18">
        <v>136726</v>
      </c>
      <c r="Q69" s="32">
        <f>Table5[[#This Row],[pledged]]*Table5[[#This Row],[Exchange_rate]]</f>
        <v>136726</v>
      </c>
      <c r="R69" s="33">
        <f>ROUND(Table5[[#This Row],[Pledged_USD]],0)</f>
        <v>136726</v>
      </c>
      <c r="S69" s="35">
        <v>5000</v>
      </c>
      <c r="T69" s="35">
        <f>VALUE(Table5[[#This Row],[goal_USD]])</f>
        <v>5000</v>
      </c>
      <c r="U69" t="s">
        <v>487</v>
      </c>
      <c r="V69" t="s">
        <v>663</v>
      </c>
      <c r="W69" t="str">
        <f t="shared" si="19"/>
        <v>Plainfield, IL</v>
      </c>
      <c r="X69" t="s">
        <v>527</v>
      </c>
      <c r="Y69" t="str">
        <f t="shared" si="20"/>
        <v>United States</v>
      </c>
      <c r="Z69" t="s">
        <v>38</v>
      </c>
      <c r="AA69">
        <f t="shared" si="21"/>
        <v>54</v>
      </c>
      <c r="AB69" t="str">
        <f t="shared" si="22"/>
        <v>tabletop%20games</v>
      </c>
      <c r="AC69" t="str">
        <f>SUBSTITUTE(Table5[[#This Row],[source_url_category]], "%20", " ")</f>
        <v>tabletop games</v>
      </c>
      <c r="AD69" s="2" t="b">
        <v>0</v>
      </c>
      <c r="AE69" s="2" t="str">
        <f>LOWER(Table5[[#This Row],[staff_pick]])</f>
        <v>false</v>
      </c>
      <c r="AF69" t="s">
        <v>16</v>
      </c>
      <c r="AH69" s="19">
        <v>4643</v>
      </c>
      <c r="AI69" s="10"/>
    </row>
    <row r="70" spans="1:35" x14ac:dyDescent="0.2">
      <c r="A70" s="18">
        <v>935058626</v>
      </c>
      <c r="B70" t="s">
        <v>37</v>
      </c>
      <c r="C70" t="str">
        <f>CONCATENATE(Table5[[#This Row],[id]], "-", PROPER(Table5[[#This Row],[name]]))</f>
        <v>935058626-Burrows &amp; Badgers: Great &amp; Small Anthro Minis By Oathsworn</v>
      </c>
      <c r="D70" s="1">
        <v>43581</v>
      </c>
      <c r="E70" s="1">
        <v>43647</v>
      </c>
      <c r="F70" s="1">
        <v>43677</v>
      </c>
      <c r="G70" s="18">
        <f t="shared" si="23"/>
        <v>30</v>
      </c>
      <c r="H70" s="18">
        <f t="shared" si="24"/>
        <v>1</v>
      </c>
      <c r="I70" s="18">
        <f t="shared" si="25"/>
        <v>7</v>
      </c>
      <c r="J70" s="5" t="b">
        <f t="shared" si="26"/>
        <v>0</v>
      </c>
      <c r="K70" s="28">
        <v>307</v>
      </c>
      <c r="L70" s="28">
        <f t="shared" si="18"/>
        <v>307</v>
      </c>
      <c r="M70" s="22">
        <f t="shared" si="27"/>
        <v>30</v>
      </c>
      <c r="N70" t="s">
        <v>15</v>
      </c>
      <c r="O70">
        <f>VLOOKUP(Table5[[#This Row],[currency]],Table3[],2)</f>
        <v>1</v>
      </c>
      <c r="P70" s="18">
        <v>5363</v>
      </c>
      <c r="Q70" s="32">
        <f>Table5[[#This Row],[pledged]]*Table5[[#This Row],[Exchange_rate]]</f>
        <v>5363</v>
      </c>
      <c r="R70" s="33">
        <f>ROUND(Table5[[#This Row],[Pledged_USD]],0)</f>
        <v>5363</v>
      </c>
      <c r="S70" s="35">
        <v>1000</v>
      </c>
      <c r="T70" s="35">
        <f>VALUE(Table5[[#This Row],[goal_USD]])</f>
        <v>1000</v>
      </c>
      <c r="U70" t="s">
        <v>390</v>
      </c>
      <c r="V70" t="s">
        <v>678</v>
      </c>
      <c r="W70" t="str">
        <f t="shared" si="19"/>
        <v>Minneapolis, MN</v>
      </c>
      <c r="X70" t="s">
        <v>527</v>
      </c>
      <c r="Y70" t="str">
        <f t="shared" si="20"/>
        <v>United States</v>
      </c>
      <c r="Z70" t="s">
        <v>38</v>
      </c>
      <c r="AA70">
        <f t="shared" si="21"/>
        <v>54</v>
      </c>
      <c r="AB70" t="str">
        <f t="shared" si="22"/>
        <v>tabletop%20games</v>
      </c>
      <c r="AC70" t="str">
        <f>SUBSTITUTE(Table5[[#This Row],[source_url_category]], "%20", " ")</f>
        <v>tabletop games</v>
      </c>
      <c r="AD70" s="2" t="b">
        <v>0</v>
      </c>
      <c r="AE70" s="2" t="str">
        <f>LOWER(Table5[[#This Row],[staff_pick]])</f>
        <v>false</v>
      </c>
      <c r="AF70" t="s">
        <v>16</v>
      </c>
      <c r="AH70" s="19">
        <v>4868.25</v>
      </c>
      <c r="AI70" s="10"/>
    </row>
    <row r="71" spans="1:35" x14ac:dyDescent="0.2">
      <c r="A71" s="18">
        <v>965417878</v>
      </c>
      <c r="B71" t="s">
        <v>136</v>
      </c>
      <c r="C71" t="str">
        <f>CONCATENATE(Table5[[#This Row],[id]], "-", PROPER(Table5[[#This Row],[name]]))</f>
        <v>965417878-Lux Runa: Metal Playing Cards</v>
      </c>
      <c r="D71" s="1">
        <v>43584</v>
      </c>
      <c r="E71" s="1">
        <v>43586</v>
      </c>
      <c r="F71" s="1">
        <v>43616</v>
      </c>
      <c r="G71" s="18">
        <f t="shared" si="23"/>
        <v>30</v>
      </c>
      <c r="H71" s="18">
        <f t="shared" si="24"/>
        <v>3</v>
      </c>
      <c r="I71" s="18">
        <f t="shared" si="25"/>
        <v>5</v>
      </c>
      <c r="J71" s="5" t="b">
        <f t="shared" si="26"/>
        <v>0</v>
      </c>
      <c r="K71" s="29">
        <v>173</v>
      </c>
      <c r="L71" s="29">
        <f t="shared" si="18"/>
        <v>173</v>
      </c>
      <c r="M71" s="22">
        <f t="shared" si="27"/>
        <v>30</v>
      </c>
      <c r="N71" t="s">
        <v>15</v>
      </c>
      <c r="O71">
        <f>VLOOKUP(Table5[[#This Row],[currency]],Table3[],2)</f>
        <v>1</v>
      </c>
      <c r="P71" s="18">
        <v>1737</v>
      </c>
      <c r="Q71" s="32">
        <f>Table5[[#This Row],[pledged]]*Table5[[#This Row],[Exchange_rate]]</f>
        <v>1737</v>
      </c>
      <c r="R71" s="33">
        <f>ROUND(Table5[[#This Row],[Pledged_USD]],0)</f>
        <v>1737</v>
      </c>
      <c r="S71" s="35">
        <v>1000</v>
      </c>
      <c r="T71" s="35">
        <f>VALUE(Table5[[#This Row],[goal_USD]])</f>
        <v>1000</v>
      </c>
      <c r="U71" t="s">
        <v>417</v>
      </c>
      <c r="V71" t="s">
        <v>651</v>
      </c>
      <c r="W71" t="str">
        <f t="shared" si="19"/>
        <v>Redmond, WA</v>
      </c>
      <c r="X71" t="s">
        <v>527</v>
      </c>
      <c r="Y71" t="str">
        <f t="shared" si="20"/>
        <v>United States</v>
      </c>
      <c r="Z71" t="s">
        <v>38</v>
      </c>
      <c r="AA71">
        <f t="shared" si="21"/>
        <v>54</v>
      </c>
      <c r="AB71" t="str">
        <f t="shared" si="22"/>
        <v>tabletop%20games</v>
      </c>
      <c r="AC71" t="str">
        <f>SUBSTITUTE(Table5[[#This Row],[source_url_category]], "%20", " ")</f>
        <v>tabletop games</v>
      </c>
      <c r="AD71" s="2" t="b">
        <v>0</v>
      </c>
      <c r="AE71" s="2" t="str">
        <f>LOWER(Table5[[#This Row],[staff_pick]])</f>
        <v>false</v>
      </c>
      <c r="AF71" t="s">
        <v>16</v>
      </c>
      <c r="AH71" s="19">
        <v>4951</v>
      </c>
      <c r="AI71" s="10"/>
    </row>
    <row r="72" spans="1:35" x14ac:dyDescent="0.2">
      <c r="A72" s="18">
        <v>999093282</v>
      </c>
      <c r="B72" t="s">
        <v>191</v>
      </c>
      <c r="C72" t="str">
        <f>CONCATENATE(Table5[[#This Row],[id]], "-", PROPER(Table5[[#This Row],[name]]))</f>
        <v>999093282-The 72 Angels Talisman Coins &amp; Spiritual Cards</v>
      </c>
      <c r="D72" s="1">
        <v>43584</v>
      </c>
      <c r="E72" s="1">
        <v>43689</v>
      </c>
      <c r="F72" s="1">
        <v>43719</v>
      </c>
      <c r="G72" s="18">
        <f t="shared" si="23"/>
        <v>30</v>
      </c>
      <c r="H72" s="18">
        <f t="shared" si="24"/>
        <v>1</v>
      </c>
      <c r="I72" s="18">
        <f t="shared" si="25"/>
        <v>8</v>
      </c>
      <c r="J72" s="5" t="b">
        <f t="shared" si="26"/>
        <v>0</v>
      </c>
      <c r="K72" s="28">
        <v>11</v>
      </c>
      <c r="L72" s="28">
        <f t="shared" si="18"/>
        <v>11</v>
      </c>
      <c r="M72" s="22">
        <f t="shared" si="27"/>
        <v>30</v>
      </c>
      <c r="N72" t="s">
        <v>19</v>
      </c>
      <c r="O72">
        <f>VLOOKUP(Table5[[#This Row],[currency]],Table3[],2)</f>
        <v>1.49576325</v>
      </c>
      <c r="P72" s="18">
        <v>81</v>
      </c>
      <c r="Q72" s="32">
        <f>Table5[[#This Row],[pledged]]*Table5[[#This Row],[Exchange_rate]]</f>
        <v>121.15682325</v>
      </c>
      <c r="R72" s="33">
        <f>ROUND(Table5[[#This Row],[Pledged_USD]],0)</f>
        <v>121</v>
      </c>
      <c r="S72" s="35">
        <v>20</v>
      </c>
      <c r="T72" s="35">
        <f>VALUE(Table5[[#This Row],[goal_USD]])</f>
        <v>20</v>
      </c>
      <c r="U72" t="s">
        <v>344</v>
      </c>
      <c r="V72" t="s">
        <v>650</v>
      </c>
      <c r="W72" t="str">
        <f t="shared" si="19"/>
        <v>London, England</v>
      </c>
      <c r="X72" t="s">
        <v>526</v>
      </c>
      <c r="Y72" t="str">
        <f t="shared" si="20"/>
        <v>United Kingdom</v>
      </c>
      <c r="Z72" t="s">
        <v>38</v>
      </c>
      <c r="AA72">
        <f t="shared" si="21"/>
        <v>54</v>
      </c>
      <c r="AB72" t="str">
        <f t="shared" si="22"/>
        <v>tabletop%20games</v>
      </c>
      <c r="AC72" t="str">
        <f>SUBSTITUTE(Table5[[#This Row],[source_url_category]], "%20", " ")</f>
        <v>tabletop games</v>
      </c>
      <c r="AD72" s="2" t="b">
        <v>0</v>
      </c>
      <c r="AE72" s="2" t="str">
        <f>LOWER(Table5[[#This Row],[staff_pick]])</f>
        <v>false</v>
      </c>
      <c r="AF72" t="s">
        <v>16</v>
      </c>
      <c r="AH72" s="19">
        <v>5113</v>
      </c>
      <c r="AI72" s="10"/>
    </row>
    <row r="73" spans="1:35" x14ac:dyDescent="0.2">
      <c r="A73" s="18">
        <v>1010252246</v>
      </c>
      <c r="B73" t="s">
        <v>36</v>
      </c>
      <c r="C73" t="str">
        <f>CONCATENATE(Table5[[#This Row],[id]], "-", PROPER(Table5[[#This Row],[name]]))</f>
        <v>1010252246-Pixel Blocks By Little Problem Solvers</v>
      </c>
      <c r="D73" s="1">
        <v>43587</v>
      </c>
      <c r="E73" s="1">
        <v>43774</v>
      </c>
      <c r="F73" s="1">
        <v>43805</v>
      </c>
      <c r="G73" s="18">
        <f t="shared" si="23"/>
        <v>31</v>
      </c>
      <c r="H73" s="18">
        <f t="shared" si="24"/>
        <v>2</v>
      </c>
      <c r="I73" s="18">
        <f t="shared" si="25"/>
        <v>11</v>
      </c>
      <c r="J73" s="5" t="b">
        <f t="shared" si="26"/>
        <v>0</v>
      </c>
      <c r="K73" s="29">
        <v>23</v>
      </c>
      <c r="L73" s="29">
        <f t="shared" si="18"/>
        <v>23</v>
      </c>
      <c r="M73" s="22">
        <f t="shared" si="27"/>
        <v>31</v>
      </c>
      <c r="N73" t="s">
        <v>15</v>
      </c>
      <c r="O73">
        <f>VLOOKUP(Table5[[#This Row],[currency]],Table3[],2)</f>
        <v>1</v>
      </c>
      <c r="P73" s="18">
        <v>607</v>
      </c>
      <c r="Q73" s="32">
        <f>Table5[[#This Row],[pledged]]*Table5[[#This Row],[Exchange_rate]]</f>
        <v>607</v>
      </c>
      <c r="R73" s="33">
        <f>ROUND(Table5[[#This Row],[Pledged_USD]],0)</f>
        <v>607</v>
      </c>
      <c r="S73" s="35">
        <v>1500</v>
      </c>
      <c r="T73" s="35">
        <f>VALUE(Table5[[#This Row],[goal_USD]])</f>
        <v>1500</v>
      </c>
      <c r="U73" t="s">
        <v>361</v>
      </c>
      <c r="V73" t="s">
        <v>666</v>
      </c>
      <c r="W73" t="str">
        <f t="shared" si="19"/>
        <v>Denver, CO</v>
      </c>
      <c r="X73" t="s">
        <v>527</v>
      </c>
      <c r="Y73" t="str">
        <f t="shared" si="20"/>
        <v>United States</v>
      </c>
      <c r="Z73" t="s">
        <v>38</v>
      </c>
      <c r="AA73">
        <f t="shared" si="21"/>
        <v>54</v>
      </c>
      <c r="AB73" t="str">
        <f t="shared" si="22"/>
        <v>tabletop%20games</v>
      </c>
      <c r="AC73" t="str">
        <f>SUBSTITUTE(Table5[[#This Row],[source_url_category]], "%20", " ")</f>
        <v>tabletop games</v>
      </c>
      <c r="AD73" s="2" t="b">
        <v>0</v>
      </c>
      <c r="AE73" s="2" t="str">
        <f>LOWER(Table5[[#This Row],[staff_pick]])</f>
        <v>false</v>
      </c>
      <c r="AF73" t="s">
        <v>20</v>
      </c>
      <c r="AH73" s="19">
        <v>5214</v>
      </c>
      <c r="AI73" s="10"/>
    </row>
    <row r="74" spans="1:35" x14ac:dyDescent="0.2">
      <c r="A74" s="18">
        <v>1038316883</v>
      </c>
      <c r="B74" t="s">
        <v>147</v>
      </c>
      <c r="C74" t="str">
        <f>CONCATENATE(Table5[[#This Row],[id]], "-", PROPER(Table5[[#This Row],[name]]))</f>
        <v>1038316883-Quests And Chaos Merchandise Launch</v>
      </c>
      <c r="D74" s="1">
        <v>43588</v>
      </c>
      <c r="E74" s="1">
        <v>43599</v>
      </c>
      <c r="F74" s="1">
        <v>43629</v>
      </c>
      <c r="G74" s="18">
        <f t="shared" si="23"/>
        <v>30</v>
      </c>
      <c r="H74" s="18">
        <f t="shared" si="24"/>
        <v>2</v>
      </c>
      <c r="I74" s="18">
        <f t="shared" si="25"/>
        <v>5</v>
      </c>
      <c r="J74" s="5" t="b">
        <f t="shared" si="26"/>
        <v>0</v>
      </c>
      <c r="K74" s="28">
        <v>350</v>
      </c>
      <c r="L74" s="28">
        <f t="shared" si="18"/>
        <v>350</v>
      </c>
      <c r="M74" s="22">
        <f t="shared" si="27"/>
        <v>30</v>
      </c>
      <c r="N74" t="s">
        <v>15</v>
      </c>
      <c r="O74">
        <f>VLOOKUP(Table5[[#This Row],[currency]],Table3[],2)</f>
        <v>1</v>
      </c>
      <c r="P74" s="18">
        <v>24500</v>
      </c>
      <c r="Q74" s="32">
        <f>Table5[[#This Row],[pledged]]*Table5[[#This Row],[Exchange_rate]]</f>
        <v>24500</v>
      </c>
      <c r="R74" s="33">
        <f>ROUND(Table5[[#This Row],[Pledged_USD]],0)</f>
        <v>24500</v>
      </c>
      <c r="S74" s="35">
        <v>400</v>
      </c>
      <c r="T74" s="35">
        <f>VALUE(Table5[[#This Row],[goal_USD]])</f>
        <v>400</v>
      </c>
      <c r="U74" t="s">
        <v>446</v>
      </c>
      <c r="V74" t="s">
        <v>23</v>
      </c>
      <c r="W74" t="str">
        <f t="shared" si="19"/>
        <v>Vacaville, CA</v>
      </c>
      <c r="X74" t="s">
        <v>527</v>
      </c>
      <c r="Y74" t="str">
        <f t="shared" si="20"/>
        <v>United States</v>
      </c>
      <c r="Z74" t="s">
        <v>38</v>
      </c>
      <c r="AA74">
        <f t="shared" si="21"/>
        <v>54</v>
      </c>
      <c r="AB74" t="str">
        <f t="shared" si="22"/>
        <v>tabletop%20games</v>
      </c>
      <c r="AC74" t="str">
        <f>SUBSTITUTE(Table5[[#This Row],[source_url_category]], "%20", " ")</f>
        <v>tabletop games</v>
      </c>
      <c r="AD74" s="2" t="b">
        <v>0</v>
      </c>
      <c r="AE74" s="2" t="str">
        <f>LOWER(Table5[[#This Row],[staff_pick]])</f>
        <v>false</v>
      </c>
      <c r="AF74" t="s">
        <v>16</v>
      </c>
      <c r="AH74" s="19">
        <v>5363</v>
      </c>
      <c r="AI74" s="10"/>
    </row>
    <row r="75" spans="1:35" x14ac:dyDescent="0.2">
      <c r="A75" s="18">
        <v>1050302600</v>
      </c>
      <c r="B75" t="s">
        <v>190</v>
      </c>
      <c r="C75" t="str">
        <f>CONCATENATE(Table5[[#This Row],[id]], "-", PROPER(Table5[[#This Row],[name]]))</f>
        <v>1050302600-Team Stack Cup - The Game</v>
      </c>
      <c r="D75" s="1">
        <v>43598</v>
      </c>
      <c r="E75" s="1">
        <v>43605</v>
      </c>
      <c r="F75" s="1">
        <v>43635</v>
      </c>
      <c r="G75" s="18">
        <f t="shared" si="23"/>
        <v>30</v>
      </c>
      <c r="H75" s="18">
        <f t="shared" si="24"/>
        <v>1</v>
      </c>
      <c r="I75" s="18">
        <f t="shared" si="25"/>
        <v>5</v>
      </c>
      <c r="J75" s="5" t="b">
        <f t="shared" si="26"/>
        <v>0</v>
      </c>
      <c r="K75" s="29">
        <v>10</v>
      </c>
      <c r="L75" s="29">
        <f t="shared" si="18"/>
        <v>10</v>
      </c>
      <c r="M75" s="22">
        <f t="shared" si="27"/>
        <v>30</v>
      </c>
      <c r="N75" t="s">
        <v>19</v>
      </c>
      <c r="O75">
        <f>VLOOKUP(Table5[[#This Row],[currency]],Table3[],2)</f>
        <v>1.49576325</v>
      </c>
      <c r="P75" s="18">
        <v>401</v>
      </c>
      <c r="Q75" s="32">
        <f>Table5[[#This Row],[pledged]]*Table5[[#This Row],[Exchange_rate]]</f>
        <v>599.80106324999997</v>
      </c>
      <c r="R75" s="33">
        <f>ROUND(Table5[[#This Row],[Pledged_USD]],0)</f>
        <v>600</v>
      </c>
      <c r="S75" s="35">
        <v>3000</v>
      </c>
      <c r="T75" s="35">
        <f>VALUE(Table5[[#This Row],[goal_USD]])</f>
        <v>3000</v>
      </c>
      <c r="U75" t="s">
        <v>480</v>
      </c>
      <c r="V75" t="s">
        <v>650</v>
      </c>
      <c r="W75" t="str">
        <f t="shared" si="19"/>
        <v>Matlock, England</v>
      </c>
      <c r="X75" t="s">
        <v>526</v>
      </c>
      <c r="Y75" t="str">
        <f t="shared" si="20"/>
        <v>United Kingdom</v>
      </c>
      <c r="Z75" t="s">
        <v>106</v>
      </c>
      <c r="AA75">
        <f t="shared" si="21"/>
        <v>54</v>
      </c>
      <c r="AB75" t="str">
        <f t="shared" si="22"/>
        <v>mobile%20games</v>
      </c>
      <c r="AC75" t="str">
        <f>SUBSTITUTE(Table5[[#This Row],[source_url_category]], "%20", " ")</f>
        <v>mobile games</v>
      </c>
      <c r="AD75" s="2" t="b">
        <v>0</v>
      </c>
      <c r="AE75" s="2" t="str">
        <f>LOWER(Table5[[#This Row],[staff_pick]])</f>
        <v>false</v>
      </c>
      <c r="AF75" t="s">
        <v>17</v>
      </c>
      <c r="AH75" s="19">
        <v>5407</v>
      </c>
      <c r="AI75" s="10"/>
    </row>
    <row r="76" spans="1:35" x14ac:dyDescent="0.2">
      <c r="A76" s="18">
        <v>1070138616</v>
      </c>
      <c r="B76" t="s">
        <v>131</v>
      </c>
      <c r="C76" t="str">
        <f>CONCATENATE(Table5[[#This Row],[id]], "-", PROPER(Table5[[#This Row],[name]]))</f>
        <v>1070138616-Dance Of Death Playing Cards - Limited 1,2,3 Deck Of Cards</v>
      </c>
      <c r="D76" s="1">
        <v>43601</v>
      </c>
      <c r="E76" s="1">
        <v>43606</v>
      </c>
      <c r="F76" s="1">
        <v>43636</v>
      </c>
      <c r="G76" s="18">
        <f t="shared" si="23"/>
        <v>30</v>
      </c>
      <c r="H76" s="18">
        <f t="shared" si="24"/>
        <v>2</v>
      </c>
      <c r="I76" s="18">
        <f t="shared" si="25"/>
        <v>5</v>
      </c>
      <c r="J76" s="5" t="b">
        <f t="shared" si="26"/>
        <v>0</v>
      </c>
      <c r="K76" s="28">
        <v>12</v>
      </c>
      <c r="L76" s="28">
        <f t="shared" si="18"/>
        <v>12</v>
      </c>
      <c r="M76" s="22">
        <f t="shared" si="27"/>
        <v>30</v>
      </c>
      <c r="N76" t="s">
        <v>33</v>
      </c>
      <c r="O76">
        <f>VLOOKUP(Table5[[#This Row],[currency]],Table3[],2)</f>
        <v>0.70150824000000001</v>
      </c>
      <c r="P76" s="18">
        <v>409</v>
      </c>
      <c r="Q76" s="32">
        <f>Table5[[#This Row],[pledged]]*Table5[[#This Row],[Exchange_rate]]</f>
        <v>286.91687016000003</v>
      </c>
      <c r="R76" s="33">
        <f>ROUND(Table5[[#This Row],[Pledged_USD]],0)</f>
        <v>287</v>
      </c>
      <c r="S76" s="35">
        <v>300</v>
      </c>
      <c r="T76" s="35">
        <f>VALUE(Table5[[#This Row],[goal_USD]])</f>
        <v>300</v>
      </c>
      <c r="U76" t="s">
        <v>405</v>
      </c>
      <c r="V76" t="s">
        <v>652</v>
      </c>
      <c r="W76" t="str">
        <f t="shared" si="19"/>
        <v>Singapore, Central Singapore</v>
      </c>
      <c r="X76" t="s">
        <v>538</v>
      </c>
      <c r="Y76" t="str">
        <f t="shared" si="20"/>
        <v>Singapore</v>
      </c>
      <c r="Z76" t="s">
        <v>107</v>
      </c>
      <c r="AA76">
        <f t="shared" si="21"/>
        <v>54</v>
      </c>
      <c r="AB76" t="str">
        <f t="shared" si="22"/>
        <v>playing%20cards</v>
      </c>
      <c r="AC76" t="str">
        <f>SUBSTITUTE(Table5[[#This Row],[source_url_category]], "%20", " ")</f>
        <v>playing cards</v>
      </c>
      <c r="AD76" s="2" t="b">
        <v>0</v>
      </c>
      <c r="AE76" s="2" t="str">
        <f>LOWER(Table5[[#This Row],[staff_pick]])</f>
        <v>false</v>
      </c>
      <c r="AF76" t="s">
        <v>16</v>
      </c>
      <c r="AH76" s="19">
        <v>5469</v>
      </c>
      <c r="AI76" s="10"/>
    </row>
    <row r="77" spans="1:35" x14ac:dyDescent="0.2">
      <c r="A77" s="18">
        <v>1131233975</v>
      </c>
      <c r="B77" t="s">
        <v>132</v>
      </c>
      <c r="C77" t="str">
        <f>CONCATENATE(Table5[[#This Row],[id]], "-", PROPER(Table5[[#This Row],[name]]))</f>
        <v>1131233975-Perfecttrine - Playing Cards</v>
      </c>
      <c r="D77" s="1">
        <v>43601</v>
      </c>
      <c r="E77" s="1">
        <v>43638</v>
      </c>
      <c r="F77" s="1">
        <v>43668</v>
      </c>
      <c r="G77" s="18">
        <f t="shared" si="23"/>
        <v>30</v>
      </c>
      <c r="H77" s="18">
        <f t="shared" si="24"/>
        <v>6</v>
      </c>
      <c r="I77" s="18">
        <f t="shared" si="25"/>
        <v>6</v>
      </c>
      <c r="J77" s="5" t="b">
        <f t="shared" si="26"/>
        <v>0</v>
      </c>
      <c r="K77" s="29">
        <v>27</v>
      </c>
      <c r="L77" s="29">
        <f t="shared" si="18"/>
        <v>27</v>
      </c>
      <c r="M77" s="22">
        <f t="shared" si="27"/>
        <v>30</v>
      </c>
      <c r="N77" t="s">
        <v>15</v>
      </c>
      <c r="O77">
        <f>VLOOKUP(Table5[[#This Row],[currency]],Table3[],2)</f>
        <v>1</v>
      </c>
      <c r="P77" s="18">
        <v>1275</v>
      </c>
      <c r="Q77" s="32">
        <f>Table5[[#This Row],[pledged]]*Table5[[#This Row],[Exchange_rate]]</f>
        <v>1275</v>
      </c>
      <c r="R77" s="33">
        <f>ROUND(Table5[[#This Row],[Pledged_USD]],0)</f>
        <v>1275</v>
      </c>
      <c r="S77" s="35">
        <v>1000</v>
      </c>
      <c r="T77" s="35">
        <f>VALUE(Table5[[#This Row],[goal_USD]])</f>
        <v>1000</v>
      </c>
      <c r="U77" t="s">
        <v>422</v>
      </c>
      <c r="V77" t="s">
        <v>648</v>
      </c>
      <c r="W77" t="str">
        <f t="shared" si="19"/>
        <v>Charlottesville, VA</v>
      </c>
      <c r="X77" t="s">
        <v>527</v>
      </c>
      <c r="Y77" t="str">
        <f t="shared" si="20"/>
        <v>United States</v>
      </c>
      <c r="Z77" t="s">
        <v>38</v>
      </c>
      <c r="AA77">
        <f t="shared" si="21"/>
        <v>54</v>
      </c>
      <c r="AB77" t="str">
        <f t="shared" si="22"/>
        <v>tabletop%20games</v>
      </c>
      <c r="AC77" t="str">
        <f>SUBSTITUTE(Table5[[#This Row],[source_url_category]], "%20", " ")</f>
        <v>tabletop games</v>
      </c>
      <c r="AD77" s="2" t="b">
        <v>0</v>
      </c>
      <c r="AE77" s="2" t="str">
        <f>LOWER(Table5[[#This Row],[staff_pick]])</f>
        <v>false</v>
      </c>
      <c r="AF77" t="s">
        <v>16</v>
      </c>
      <c r="AH77" s="19">
        <v>5513</v>
      </c>
      <c r="AI77" s="10"/>
    </row>
    <row r="78" spans="1:35" x14ac:dyDescent="0.2">
      <c r="A78" s="18">
        <v>1134572644</v>
      </c>
      <c r="B78" t="s">
        <v>109</v>
      </c>
      <c r="C78" t="str">
        <f>CONCATENATE(Table5[[#This Row],[id]], "-", PROPER(Table5[[#This Row],[name]]))</f>
        <v>1134572644-Monolith Playing Cards</v>
      </c>
      <c r="D78" s="1">
        <v>43607</v>
      </c>
      <c r="E78" s="1">
        <v>43630</v>
      </c>
      <c r="F78" s="1">
        <v>43660</v>
      </c>
      <c r="G78" s="18">
        <f t="shared" si="23"/>
        <v>30</v>
      </c>
      <c r="H78" s="18">
        <f t="shared" si="24"/>
        <v>5</v>
      </c>
      <c r="I78" s="18">
        <f t="shared" si="25"/>
        <v>6</v>
      </c>
      <c r="J78" s="5" t="b">
        <f t="shared" si="26"/>
        <v>0</v>
      </c>
      <c r="K78" s="28">
        <v>132</v>
      </c>
      <c r="L78" s="28">
        <f t="shared" si="18"/>
        <v>132</v>
      </c>
      <c r="M78" s="22">
        <f t="shared" si="27"/>
        <v>30</v>
      </c>
      <c r="N78" t="s">
        <v>15</v>
      </c>
      <c r="O78">
        <f>VLOOKUP(Table5[[#This Row],[currency]],Table3[],2)</f>
        <v>1</v>
      </c>
      <c r="P78" s="18">
        <v>3208</v>
      </c>
      <c r="Q78" s="32">
        <f>Table5[[#This Row],[pledged]]*Table5[[#This Row],[Exchange_rate]]</f>
        <v>3208</v>
      </c>
      <c r="R78" s="33">
        <f>ROUND(Table5[[#This Row],[Pledged_USD]],0)</f>
        <v>3208</v>
      </c>
      <c r="S78" s="35">
        <v>12000</v>
      </c>
      <c r="T78" s="35">
        <f>VALUE(Table5[[#This Row],[goal_USD]])</f>
        <v>12000</v>
      </c>
      <c r="U78" t="s">
        <v>482</v>
      </c>
      <c r="V78" t="s">
        <v>662</v>
      </c>
      <c r="W78" t="str">
        <f t="shared" si="19"/>
        <v>Traverse City, MI</v>
      </c>
      <c r="X78" t="s">
        <v>527</v>
      </c>
      <c r="Y78" t="str">
        <f t="shared" si="20"/>
        <v>United States</v>
      </c>
      <c r="Z78" t="s">
        <v>107</v>
      </c>
      <c r="AA78">
        <f t="shared" si="21"/>
        <v>54</v>
      </c>
      <c r="AB78" t="str">
        <f t="shared" si="22"/>
        <v>playing%20cards</v>
      </c>
      <c r="AC78" t="str">
        <f>SUBSTITUTE(Table5[[#This Row],[source_url_category]], "%20", " ")</f>
        <v>playing cards</v>
      </c>
      <c r="AD78" s="2" t="b">
        <v>1</v>
      </c>
      <c r="AE78" s="2" t="str">
        <f>LOWER(Table5[[#This Row],[staff_pick]])</f>
        <v>true</v>
      </c>
      <c r="AF78" t="s">
        <v>17</v>
      </c>
      <c r="AH78" s="19">
        <v>5585</v>
      </c>
      <c r="AI78" s="10"/>
    </row>
    <row r="79" spans="1:35" x14ac:dyDescent="0.2">
      <c r="A79" s="18">
        <v>1185465369</v>
      </c>
      <c r="B79" t="s">
        <v>214</v>
      </c>
      <c r="C79" t="str">
        <f>CONCATENATE(Table5[[#This Row],[id]], "-", PROPER(Table5[[#This Row],[name]]))</f>
        <v>1185465369-Odyssey: Anthropos</v>
      </c>
      <c r="D79" s="1">
        <v>43609</v>
      </c>
      <c r="E79" s="1">
        <v>43634</v>
      </c>
      <c r="F79" s="1">
        <v>43649</v>
      </c>
      <c r="G79" s="18">
        <f t="shared" si="23"/>
        <v>15</v>
      </c>
      <c r="H79" s="18">
        <f t="shared" si="24"/>
        <v>2</v>
      </c>
      <c r="I79" s="18">
        <f t="shared" si="25"/>
        <v>6</v>
      </c>
      <c r="J79" s="5" t="b">
        <f t="shared" si="26"/>
        <v>0</v>
      </c>
      <c r="K79" s="29">
        <v>5229</v>
      </c>
      <c r="L79" s="29">
        <f t="shared" si="18"/>
        <v>5229</v>
      </c>
      <c r="M79" s="22">
        <f t="shared" si="27"/>
        <v>15</v>
      </c>
      <c r="N79" t="s">
        <v>22</v>
      </c>
      <c r="O79">
        <f>VLOOKUP(Table5[[#This Row],[currency]],Table3[],2)</f>
        <v>0.76932900999999998</v>
      </c>
      <c r="P79" s="18">
        <v>265211.90999999997</v>
      </c>
      <c r="Q79" s="32">
        <f>Table5[[#This Row],[pledged]]*Table5[[#This Row],[Exchange_rate]]</f>
        <v>204035.21616050907</v>
      </c>
      <c r="R79" s="33">
        <f>ROUND(Table5[[#This Row],[Pledged_USD]],0)</f>
        <v>204035</v>
      </c>
      <c r="S79" s="35">
        <v>36500</v>
      </c>
      <c r="T79" s="35">
        <f>VALUE(Table5[[#This Row],[goal_USD]])</f>
        <v>36500</v>
      </c>
      <c r="U79" t="s">
        <v>350</v>
      </c>
      <c r="V79" t="s">
        <v>679</v>
      </c>
      <c r="W79" t="str">
        <f t="shared" si="19"/>
        <v>Toronto, ON</v>
      </c>
      <c r="X79" t="s">
        <v>532</v>
      </c>
      <c r="Y79" t="str">
        <f t="shared" si="20"/>
        <v>Canada</v>
      </c>
      <c r="Z79" t="s">
        <v>38</v>
      </c>
      <c r="AA79">
        <f t="shared" si="21"/>
        <v>54</v>
      </c>
      <c r="AB79" t="str">
        <f t="shared" si="22"/>
        <v>tabletop%20games</v>
      </c>
      <c r="AC79" t="str">
        <f>SUBSTITUTE(Table5[[#This Row],[source_url_category]], "%20", " ")</f>
        <v>tabletop games</v>
      </c>
      <c r="AD79" s="2" t="b">
        <v>0</v>
      </c>
      <c r="AE79" s="2" t="str">
        <f>LOWER(Table5[[#This Row],[staff_pick]])</f>
        <v>false</v>
      </c>
      <c r="AF79" t="s">
        <v>16</v>
      </c>
      <c r="AH79" s="19">
        <v>5815</v>
      </c>
      <c r="AI79" s="10"/>
    </row>
    <row r="80" spans="1:35" x14ac:dyDescent="0.2">
      <c r="A80" s="18">
        <v>1191044112</v>
      </c>
      <c r="B80" t="s">
        <v>46</v>
      </c>
      <c r="C80" t="str">
        <f>CONCATENATE(Table5[[#This Row],[id]], "-", PROPER(Table5[[#This Row],[name]]))</f>
        <v>1191044112-Mosaic The Board Game.</v>
      </c>
      <c r="D80" s="1">
        <v>43611</v>
      </c>
      <c r="E80" s="1">
        <v>43629</v>
      </c>
      <c r="F80" s="1">
        <v>43689</v>
      </c>
      <c r="G80" s="18">
        <f t="shared" si="23"/>
        <v>60</v>
      </c>
      <c r="H80" s="18">
        <f t="shared" si="24"/>
        <v>4</v>
      </c>
      <c r="I80" s="18">
        <f t="shared" si="25"/>
        <v>6</v>
      </c>
      <c r="J80" s="5" t="b">
        <f t="shared" si="26"/>
        <v>0</v>
      </c>
      <c r="K80" s="28">
        <v>16</v>
      </c>
      <c r="L80" s="28">
        <f t="shared" si="18"/>
        <v>16</v>
      </c>
      <c r="M80" s="22">
        <f t="shared" si="27"/>
        <v>60</v>
      </c>
      <c r="N80" t="s">
        <v>15</v>
      </c>
      <c r="O80">
        <f>VLOOKUP(Table5[[#This Row],[currency]],Table3[],2)</f>
        <v>1</v>
      </c>
      <c r="P80" s="18">
        <v>1612</v>
      </c>
      <c r="Q80" s="32">
        <f>Table5[[#This Row],[pledged]]*Table5[[#This Row],[Exchange_rate]]</f>
        <v>1612</v>
      </c>
      <c r="R80" s="33">
        <f>ROUND(Table5[[#This Row],[Pledged_USD]],0)</f>
        <v>1612</v>
      </c>
      <c r="S80" s="35">
        <v>10000</v>
      </c>
      <c r="T80" s="35">
        <f>VALUE(Table5[[#This Row],[goal_USD]])</f>
        <v>10000</v>
      </c>
      <c r="U80" t="s">
        <v>382</v>
      </c>
      <c r="V80" t="s">
        <v>668</v>
      </c>
      <c r="W80" t="str">
        <f t="shared" si="19"/>
        <v>Houston, TX</v>
      </c>
      <c r="X80" t="s">
        <v>527</v>
      </c>
      <c r="Y80" t="str">
        <f t="shared" si="20"/>
        <v>United States</v>
      </c>
      <c r="Z80" t="s">
        <v>107</v>
      </c>
      <c r="AA80">
        <f t="shared" si="21"/>
        <v>54</v>
      </c>
      <c r="AB80" t="str">
        <f t="shared" si="22"/>
        <v>playing%20cards</v>
      </c>
      <c r="AC80" t="str">
        <f>SUBSTITUTE(Table5[[#This Row],[source_url_category]], "%20", " ")</f>
        <v>playing cards</v>
      </c>
      <c r="AD80" s="2" t="b">
        <v>0</v>
      </c>
      <c r="AE80" s="2" t="str">
        <f>LOWER(Table5[[#This Row],[staff_pick]])</f>
        <v>false</v>
      </c>
      <c r="AF80" t="s">
        <v>17</v>
      </c>
      <c r="AH80" s="19">
        <v>6029</v>
      </c>
      <c r="AI80" s="10"/>
    </row>
    <row r="81" spans="1:35" x14ac:dyDescent="0.2">
      <c r="A81" s="18">
        <v>1191456933</v>
      </c>
      <c r="B81" t="s">
        <v>707</v>
      </c>
      <c r="C81" t="str">
        <f>CONCATENATE(Table5[[#This Row],[id]], "-", PROPER(Table5[[#This Row],[name]]))</f>
        <v>1191456933-Us National Park Playing Cards</v>
      </c>
      <c r="D81" s="1">
        <v>43614</v>
      </c>
      <c r="E81" s="1">
        <v>43675</v>
      </c>
      <c r="F81" s="1">
        <v>43720</v>
      </c>
      <c r="G81" s="18">
        <f t="shared" si="23"/>
        <v>45</v>
      </c>
      <c r="H81" s="18">
        <f t="shared" si="24"/>
        <v>1</v>
      </c>
      <c r="I81" s="18">
        <f t="shared" si="25"/>
        <v>7</v>
      </c>
      <c r="J81" s="5" t="b">
        <f t="shared" si="26"/>
        <v>0</v>
      </c>
      <c r="K81" s="29">
        <v>1</v>
      </c>
      <c r="L81" s="29">
        <f t="shared" si="18"/>
        <v>1</v>
      </c>
      <c r="M81" s="22">
        <f t="shared" si="27"/>
        <v>45</v>
      </c>
      <c r="N81" t="s">
        <v>18</v>
      </c>
      <c r="O81">
        <f>VLOOKUP(Table5[[#This Row],[currency]],Table3[],2)</f>
        <v>1.16955371</v>
      </c>
      <c r="P81" s="18">
        <v>1</v>
      </c>
      <c r="Q81" s="32">
        <f>Table5[[#This Row],[pledged]]*Table5[[#This Row],[Exchange_rate]]</f>
        <v>1.16955371</v>
      </c>
      <c r="R81" s="33">
        <f>ROUND(Table5[[#This Row],[Pledged_USD]],0)</f>
        <v>1</v>
      </c>
      <c r="S81" s="35">
        <v>1000</v>
      </c>
      <c r="T81" s="35">
        <f>VALUE(Table5[[#This Row],[goal_USD]])</f>
        <v>1000</v>
      </c>
      <c r="U81" t="s">
        <v>500</v>
      </c>
      <c r="V81" t="s">
        <v>500</v>
      </c>
      <c r="W81" t="str">
        <f t="shared" si="19"/>
        <v>Salzburg, Salzburg</v>
      </c>
      <c r="X81" t="s">
        <v>539</v>
      </c>
      <c r="Y81" t="str">
        <f t="shared" si="20"/>
        <v>Austria</v>
      </c>
      <c r="Z81" t="s">
        <v>32</v>
      </c>
      <c r="AA81">
        <f t="shared" si="21"/>
        <v>54</v>
      </c>
      <c r="AB81" t="str">
        <f t="shared" si="22"/>
        <v>puzzles</v>
      </c>
      <c r="AC81" t="str">
        <f>SUBSTITUTE(Table5[[#This Row],[source_url_category]], "%20", " ")</f>
        <v>puzzles</v>
      </c>
      <c r="AD81" s="2" t="b">
        <v>0</v>
      </c>
      <c r="AE81" s="2" t="str">
        <f>LOWER(Table5[[#This Row],[staff_pick]])</f>
        <v>false</v>
      </c>
      <c r="AF81" t="s">
        <v>17</v>
      </c>
      <c r="AH81" s="19">
        <v>6087</v>
      </c>
      <c r="AI81" s="10"/>
    </row>
    <row r="82" spans="1:35" x14ac:dyDescent="0.2">
      <c r="A82" s="18">
        <v>1204514267</v>
      </c>
      <c r="B82" t="s">
        <v>192</v>
      </c>
      <c r="C82" t="str">
        <f>CONCATENATE(Table5[[#This Row],[id]], "-", PROPER(Table5[[#This Row],[name]]))</f>
        <v>1204514267-Attribute Dice</v>
      </c>
      <c r="D82" s="1">
        <v>43621</v>
      </c>
      <c r="E82" s="1">
        <v>43626</v>
      </c>
      <c r="F82" s="1">
        <v>43640</v>
      </c>
      <c r="G82" s="18">
        <f t="shared" si="23"/>
        <v>14</v>
      </c>
      <c r="H82" s="18">
        <f t="shared" si="24"/>
        <v>1</v>
      </c>
      <c r="I82" s="18">
        <f t="shared" si="25"/>
        <v>6</v>
      </c>
      <c r="J82" s="5" t="b">
        <f t="shared" si="26"/>
        <v>0</v>
      </c>
      <c r="K82" s="28">
        <v>144</v>
      </c>
      <c r="L82" s="28">
        <f t="shared" si="18"/>
        <v>144</v>
      </c>
      <c r="M82" s="22">
        <f t="shared" si="27"/>
        <v>14</v>
      </c>
      <c r="N82" t="s">
        <v>18</v>
      </c>
      <c r="O82">
        <f>VLOOKUP(Table5[[#This Row],[currency]],Table3[],2)</f>
        <v>1.16955371</v>
      </c>
      <c r="P82" s="18">
        <v>6087</v>
      </c>
      <c r="Q82" s="32">
        <f>Table5[[#This Row],[pledged]]*Table5[[#This Row],[Exchange_rate]]</f>
        <v>7119.0734327700002</v>
      </c>
      <c r="R82" s="33">
        <f>ROUND(Table5[[#This Row],[Pledged_USD]],0)</f>
        <v>7119</v>
      </c>
      <c r="S82" s="35">
        <v>2000</v>
      </c>
      <c r="T82" s="35">
        <f>VALUE(Table5[[#This Row],[goal_USD]])</f>
        <v>2000</v>
      </c>
      <c r="U82" t="s">
        <v>504</v>
      </c>
      <c r="V82" t="s">
        <v>512</v>
      </c>
      <c r="W82" t="str">
        <f t="shared" si="19"/>
        <v>Cintru√©nigo, Navarre</v>
      </c>
      <c r="X82" t="s">
        <v>534</v>
      </c>
      <c r="Y82" t="str">
        <f t="shared" si="20"/>
        <v>Spain</v>
      </c>
      <c r="Z82" t="s">
        <v>38</v>
      </c>
      <c r="AA82">
        <f t="shared" si="21"/>
        <v>54</v>
      </c>
      <c r="AB82" t="str">
        <f t="shared" si="22"/>
        <v>tabletop%20games</v>
      </c>
      <c r="AC82" t="str">
        <f>SUBSTITUTE(Table5[[#This Row],[source_url_category]], "%20", " ")</f>
        <v>tabletop games</v>
      </c>
      <c r="AD82" s="2" t="b">
        <v>0</v>
      </c>
      <c r="AE82" s="2" t="str">
        <f>LOWER(Table5[[#This Row],[staff_pick]])</f>
        <v>false</v>
      </c>
      <c r="AF82" t="s">
        <v>16</v>
      </c>
      <c r="AH82" s="19">
        <v>6234</v>
      </c>
      <c r="AI82" s="10"/>
    </row>
    <row r="83" spans="1:35" x14ac:dyDescent="0.2">
      <c r="A83" s="18">
        <v>1216759387</v>
      </c>
      <c r="B83" t="s">
        <v>231</v>
      </c>
      <c r="C83" t="str">
        <f>CONCATENATE(Table5[[#This Row],[id]], "-", PROPER(Table5[[#This Row],[name]]))</f>
        <v>1216759387-Medieval, 3D Printable Terrain For Tabletop And Modeling</v>
      </c>
      <c r="D83" s="1">
        <v>43627</v>
      </c>
      <c r="E83" s="1">
        <v>43718</v>
      </c>
      <c r="F83" s="1">
        <v>43736</v>
      </c>
      <c r="G83" s="18">
        <f t="shared" si="23"/>
        <v>18</v>
      </c>
      <c r="H83" s="18">
        <f t="shared" si="24"/>
        <v>2</v>
      </c>
      <c r="I83" s="18">
        <f t="shared" si="25"/>
        <v>9</v>
      </c>
      <c r="J83" s="5" t="b">
        <f t="shared" si="26"/>
        <v>0</v>
      </c>
      <c r="K83" s="29">
        <v>611</v>
      </c>
      <c r="L83" s="29">
        <f t="shared" si="18"/>
        <v>611</v>
      </c>
      <c r="M83" s="22">
        <f t="shared" si="27"/>
        <v>18</v>
      </c>
      <c r="N83" t="s">
        <v>15</v>
      </c>
      <c r="O83">
        <f>VLOOKUP(Table5[[#This Row],[currency]],Table3[],2)</f>
        <v>1</v>
      </c>
      <c r="P83" s="18">
        <v>15805</v>
      </c>
      <c r="Q83" s="32">
        <f>Table5[[#This Row],[pledged]]*Table5[[#This Row],[Exchange_rate]]</f>
        <v>15805</v>
      </c>
      <c r="R83" s="33">
        <f>ROUND(Table5[[#This Row],[Pledged_USD]],0)</f>
        <v>15805</v>
      </c>
      <c r="S83" s="35">
        <v>15000</v>
      </c>
      <c r="T83" s="35">
        <f>VALUE(Table5[[#This Row],[goal_USD]])</f>
        <v>15000</v>
      </c>
      <c r="U83" t="s">
        <v>360</v>
      </c>
      <c r="V83" t="s">
        <v>651</v>
      </c>
      <c r="W83" t="str">
        <f t="shared" si="19"/>
        <v>Vancouver, WA</v>
      </c>
      <c r="X83" t="s">
        <v>527</v>
      </c>
      <c r="Y83" t="str">
        <f t="shared" si="20"/>
        <v>United States</v>
      </c>
      <c r="Z83" t="s">
        <v>38</v>
      </c>
      <c r="AA83">
        <f t="shared" si="21"/>
        <v>54</v>
      </c>
      <c r="AB83" t="str">
        <f t="shared" si="22"/>
        <v>tabletop%20games</v>
      </c>
      <c r="AC83" t="str">
        <f>SUBSTITUTE(Table5[[#This Row],[source_url_category]], "%20", " ")</f>
        <v>tabletop games</v>
      </c>
      <c r="AD83" s="2" t="b">
        <v>0</v>
      </c>
      <c r="AE83" s="2" t="str">
        <f>LOWER(Table5[[#This Row],[staff_pick]])</f>
        <v>false</v>
      </c>
      <c r="AF83" t="s">
        <v>16</v>
      </c>
      <c r="AH83" s="19">
        <v>6324</v>
      </c>
      <c r="AI83" s="10"/>
    </row>
    <row r="84" spans="1:35" x14ac:dyDescent="0.2">
      <c r="A84" s="18">
        <v>1221572723</v>
      </c>
      <c r="B84" t="s">
        <v>195</v>
      </c>
      <c r="C84" t="str">
        <f>CONCATENATE(Table5[[#This Row],[id]], "-", PROPER(Table5[[#This Row],[name]]))</f>
        <v>1221572723-Murder Mystery Manor</v>
      </c>
      <c r="D84" s="1">
        <v>43631</v>
      </c>
      <c r="E84" s="1">
        <v>43632</v>
      </c>
      <c r="F84" s="1">
        <v>43662</v>
      </c>
      <c r="G84" s="18">
        <f t="shared" si="23"/>
        <v>30</v>
      </c>
      <c r="H84" s="18">
        <f t="shared" si="24"/>
        <v>7</v>
      </c>
      <c r="I84" s="18">
        <f t="shared" si="25"/>
        <v>6</v>
      </c>
      <c r="J84" s="5" t="b">
        <f t="shared" si="26"/>
        <v>0</v>
      </c>
      <c r="K84" s="28">
        <v>230</v>
      </c>
      <c r="L84" s="28">
        <f t="shared" si="18"/>
        <v>230</v>
      </c>
      <c r="M84" s="22">
        <f t="shared" si="27"/>
        <v>30</v>
      </c>
      <c r="N84" t="s">
        <v>15</v>
      </c>
      <c r="O84">
        <f>VLOOKUP(Table5[[#This Row],[currency]],Table3[],2)</f>
        <v>1</v>
      </c>
      <c r="P84" s="18">
        <v>8927</v>
      </c>
      <c r="Q84" s="32">
        <f>Table5[[#This Row],[pledged]]*Table5[[#This Row],[Exchange_rate]]</f>
        <v>8927</v>
      </c>
      <c r="R84" s="33">
        <f>ROUND(Table5[[#This Row],[Pledged_USD]],0)</f>
        <v>8927</v>
      </c>
      <c r="S84" s="35">
        <v>1000</v>
      </c>
      <c r="T84" s="35">
        <f>VALUE(Table5[[#This Row],[goal_USD]])</f>
        <v>1000</v>
      </c>
      <c r="U84" t="s">
        <v>503</v>
      </c>
      <c r="V84" t="s">
        <v>648</v>
      </c>
      <c r="W84" t="str">
        <f t="shared" si="19"/>
        <v>Shacklefords, VA</v>
      </c>
      <c r="X84" t="s">
        <v>527</v>
      </c>
      <c r="Y84" t="str">
        <f t="shared" si="20"/>
        <v>United States</v>
      </c>
      <c r="Z84" t="s">
        <v>38</v>
      </c>
      <c r="AA84">
        <f t="shared" si="21"/>
        <v>54</v>
      </c>
      <c r="AB84" t="str">
        <f t="shared" si="22"/>
        <v>tabletop%20games</v>
      </c>
      <c r="AC84" t="str">
        <f>SUBSTITUTE(Table5[[#This Row],[source_url_category]], "%20", " ")</f>
        <v>tabletop games</v>
      </c>
      <c r="AD84" s="2" t="b">
        <v>0</v>
      </c>
      <c r="AE84" s="2" t="str">
        <f>LOWER(Table5[[#This Row],[staff_pick]])</f>
        <v>false</v>
      </c>
      <c r="AF84" t="s">
        <v>16</v>
      </c>
      <c r="AH84" s="19">
        <v>6341</v>
      </c>
      <c r="AI84" s="10"/>
    </row>
    <row r="85" spans="1:35" x14ac:dyDescent="0.2">
      <c r="A85" s="18">
        <v>1235953202</v>
      </c>
      <c r="B85" t="s">
        <v>240</v>
      </c>
      <c r="C85" t="str">
        <f>CONCATENATE(Table5[[#This Row],[id]], "-", PROPER(Table5[[#This Row],[name]]))</f>
        <v>1235953202-Castles &amp; Crusades Codex Egyptium</v>
      </c>
      <c r="D85" s="1">
        <v>43633</v>
      </c>
      <c r="E85" s="1">
        <v>43655</v>
      </c>
      <c r="F85" s="1">
        <v>43700</v>
      </c>
      <c r="G85" s="18">
        <f t="shared" si="23"/>
        <v>45</v>
      </c>
      <c r="H85" s="18">
        <f t="shared" si="24"/>
        <v>2</v>
      </c>
      <c r="I85" s="18">
        <f t="shared" si="25"/>
        <v>7</v>
      </c>
      <c r="J85" s="5" t="b">
        <f t="shared" si="26"/>
        <v>0</v>
      </c>
      <c r="K85" s="29">
        <v>5698</v>
      </c>
      <c r="L85" s="29">
        <f t="shared" si="18"/>
        <v>5698</v>
      </c>
      <c r="M85" s="22">
        <f t="shared" si="27"/>
        <v>45</v>
      </c>
      <c r="N85" t="s">
        <v>15</v>
      </c>
      <c r="O85">
        <f>VLOOKUP(Table5[[#This Row],[currency]],Table3[],2)</f>
        <v>1</v>
      </c>
      <c r="P85" s="18">
        <v>358133</v>
      </c>
      <c r="Q85" s="32">
        <f>Table5[[#This Row],[pledged]]*Table5[[#This Row],[Exchange_rate]]</f>
        <v>358133</v>
      </c>
      <c r="R85" s="33">
        <f>ROUND(Table5[[#This Row],[Pledged_USD]],0)</f>
        <v>358133</v>
      </c>
      <c r="S85" s="35">
        <v>75000</v>
      </c>
      <c r="T85" s="35">
        <f>VALUE(Table5[[#This Row],[goal_USD]])</f>
        <v>75000</v>
      </c>
      <c r="U85" t="s">
        <v>340</v>
      </c>
      <c r="V85" t="s">
        <v>659</v>
      </c>
      <c r="W85" t="str">
        <f t="shared" si="19"/>
        <v>Portland, OR</v>
      </c>
      <c r="X85" t="s">
        <v>527</v>
      </c>
      <c r="Y85" t="str">
        <f t="shared" si="20"/>
        <v>United States</v>
      </c>
      <c r="Z85" t="s">
        <v>38</v>
      </c>
      <c r="AA85">
        <f t="shared" si="21"/>
        <v>54</v>
      </c>
      <c r="AB85" t="str">
        <f t="shared" si="22"/>
        <v>tabletop%20games</v>
      </c>
      <c r="AC85" t="str">
        <f>SUBSTITUTE(Table5[[#This Row],[source_url_category]], "%20", " ")</f>
        <v>tabletop games</v>
      </c>
      <c r="AD85" s="2" t="b">
        <v>0</v>
      </c>
      <c r="AE85" s="2" t="str">
        <f>LOWER(Table5[[#This Row],[staff_pick]])</f>
        <v>false</v>
      </c>
      <c r="AF85" t="s">
        <v>16</v>
      </c>
      <c r="AH85" s="19">
        <v>6372</v>
      </c>
      <c r="AI85" s="10"/>
    </row>
    <row r="86" spans="1:35" x14ac:dyDescent="0.2">
      <c r="A86" s="18">
        <v>1268024169</v>
      </c>
      <c r="B86" t="s">
        <v>44</v>
      </c>
      <c r="C86" t="str">
        <f>CONCATENATE(Table5[[#This Row],[id]], "-", PROPER(Table5[[#This Row],[name]]))</f>
        <v>1268024169-Titans: Historical Fantasy Miniature Board Game</v>
      </c>
      <c r="D86" s="1">
        <v>43633</v>
      </c>
      <c r="E86" s="1">
        <v>43648</v>
      </c>
      <c r="F86" s="1">
        <v>43686</v>
      </c>
      <c r="G86" s="18">
        <f t="shared" si="23"/>
        <v>38</v>
      </c>
      <c r="H86" s="18">
        <f t="shared" si="24"/>
        <v>2</v>
      </c>
      <c r="I86" s="18">
        <f t="shared" si="25"/>
        <v>7</v>
      </c>
      <c r="J86" s="5" t="b">
        <f t="shared" si="26"/>
        <v>0</v>
      </c>
      <c r="K86" s="28">
        <v>702</v>
      </c>
      <c r="L86" s="28">
        <f t="shared" si="18"/>
        <v>702</v>
      </c>
      <c r="M86" s="22">
        <f t="shared" si="27"/>
        <v>38</v>
      </c>
      <c r="N86" t="s">
        <v>19</v>
      </c>
      <c r="O86">
        <f>VLOOKUP(Table5[[#This Row],[currency]],Table3[],2)</f>
        <v>1.49576325</v>
      </c>
      <c r="P86" s="18">
        <v>30858</v>
      </c>
      <c r="Q86" s="32">
        <f>Table5[[#This Row],[pledged]]*Table5[[#This Row],[Exchange_rate]]</f>
        <v>46156.2623685</v>
      </c>
      <c r="R86" s="33">
        <f>ROUND(Table5[[#This Row],[Pledged_USD]],0)</f>
        <v>46156</v>
      </c>
      <c r="S86" s="35">
        <v>17000</v>
      </c>
      <c r="T86" s="35">
        <f>VALUE(Table5[[#This Row],[goal_USD]])</f>
        <v>17000</v>
      </c>
      <c r="U86" t="s">
        <v>344</v>
      </c>
      <c r="V86" t="s">
        <v>650</v>
      </c>
      <c r="W86" t="str">
        <f t="shared" si="19"/>
        <v>London, England</v>
      </c>
      <c r="X86" t="s">
        <v>526</v>
      </c>
      <c r="Y86" t="str">
        <f t="shared" si="20"/>
        <v>United Kingdom</v>
      </c>
      <c r="Z86" t="s">
        <v>38</v>
      </c>
      <c r="AA86">
        <f t="shared" si="21"/>
        <v>54</v>
      </c>
      <c r="AB86" t="str">
        <f t="shared" si="22"/>
        <v>tabletop%20games</v>
      </c>
      <c r="AC86" t="str">
        <f>SUBSTITUTE(Table5[[#This Row],[source_url_category]], "%20", " ")</f>
        <v>tabletop games</v>
      </c>
      <c r="AD86" s="2" t="b">
        <v>0</v>
      </c>
      <c r="AE86" s="2" t="str">
        <f>LOWER(Table5[[#This Row],[staff_pick]])</f>
        <v>false</v>
      </c>
      <c r="AF86" t="s">
        <v>16</v>
      </c>
      <c r="AH86" s="19">
        <v>6469</v>
      </c>
      <c r="AI86" s="10"/>
    </row>
    <row r="87" spans="1:35" x14ac:dyDescent="0.2">
      <c r="A87" s="18">
        <v>1286829186</v>
      </c>
      <c r="B87" t="s">
        <v>127</v>
      </c>
      <c r="C87" t="str">
        <f>CONCATENATE(Table5[[#This Row],[id]], "-", PROPER(Table5[[#This Row],[name]]))</f>
        <v>1286829186-Dado</v>
      </c>
      <c r="D87" s="1">
        <v>43636</v>
      </c>
      <c r="E87" s="1">
        <v>43661</v>
      </c>
      <c r="F87" s="1">
        <v>43685</v>
      </c>
      <c r="G87" s="18">
        <f t="shared" si="23"/>
        <v>24</v>
      </c>
      <c r="H87" s="18">
        <f t="shared" si="24"/>
        <v>1</v>
      </c>
      <c r="I87" s="18">
        <f t="shared" si="25"/>
        <v>7</v>
      </c>
      <c r="J87" s="5" t="b">
        <f t="shared" si="26"/>
        <v>0</v>
      </c>
      <c r="K87" s="29">
        <v>139</v>
      </c>
      <c r="L87" s="29">
        <f t="shared" si="18"/>
        <v>139</v>
      </c>
      <c r="M87" s="22">
        <f t="shared" si="27"/>
        <v>24</v>
      </c>
      <c r="N87" t="s">
        <v>15</v>
      </c>
      <c r="O87">
        <f>VLOOKUP(Table5[[#This Row],[currency]],Table3[],2)</f>
        <v>1</v>
      </c>
      <c r="P87" s="18">
        <v>8522</v>
      </c>
      <c r="Q87" s="32">
        <f>Table5[[#This Row],[pledged]]*Table5[[#This Row],[Exchange_rate]]</f>
        <v>8522</v>
      </c>
      <c r="R87" s="33">
        <f>ROUND(Table5[[#This Row],[Pledged_USD]],0)</f>
        <v>8522</v>
      </c>
      <c r="S87" s="35">
        <v>5000</v>
      </c>
      <c r="T87" s="35">
        <f>VALUE(Table5[[#This Row],[goal_USD]])</f>
        <v>5000</v>
      </c>
      <c r="U87" t="s">
        <v>496</v>
      </c>
      <c r="V87" t="s">
        <v>665</v>
      </c>
      <c r="W87" t="str">
        <f t="shared" si="19"/>
        <v>Coral Springs, FL</v>
      </c>
      <c r="X87" t="s">
        <v>527</v>
      </c>
      <c r="Y87" t="str">
        <f t="shared" si="20"/>
        <v>United States</v>
      </c>
      <c r="Z87" t="s">
        <v>38</v>
      </c>
      <c r="AA87">
        <f t="shared" si="21"/>
        <v>54</v>
      </c>
      <c r="AB87" t="str">
        <f t="shared" si="22"/>
        <v>tabletop%20games</v>
      </c>
      <c r="AC87" t="str">
        <f>SUBSTITUTE(Table5[[#This Row],[source_url_category]], "%20", " ")</f>
        <v>tabletop games</v>
      </c>
      <c r="AD87" s="2" t="b">
        <v>0</v>
      </c>
      <c r="AE87" s="2" t="str">
        <f>LOWER(Table5[[#This Row],[staff_pick]])</f>
        <v>false</v>
      </c>
      <c r="AF87" t="s">
        <v>16</v>
      </c>
      <c r="AH87" s="19">
        <v>6553</v>
      </c>
      <c r="AI87" s="10"/>
    </row>
    <row r="88" spans="1:35" x14ac:dyDescent="0.2">
      <c r="A88" s="18">
        <v>1292186083</v>
      </c>
      <c r="B88" t="s">
        <v>144</v>
      </c>
      <c r="C88" t="str">
        <f>CONCATENATE(Table5[[#This Row],[id]], "-", PROPER(Table5[[#This Row],[name]]))</f>
        <v>1292186083-Iwari</v>
      </c>
      <c r="D88" s="1">
        <v>43638</v>
      </c>
      <c r="E88" s="1">
        <v>43655</v>
      </c>
      <c r="F88" s="1">
        <v>43685</v>
      </c>
      <c r="G88" s="18">
        <f t="shared" si="23"/>
        <v>30</v>
      </c>
      <c r="H88" s="18">
        <f t="shared" si="24"/>
        <v>2</v>
      </c>
      <c r="I88" s="18">
        <f t="shared" si="25"/>
        <v>7</v>
      </c>
      <c r="J88" s="5" t="b">
        <f t="shared" si="26"/>
        <v>0</v>
      </c>
      <c r="K88" s="28">
        <v>253</v>
      </c>
      <c r="L88" s="28">
        <f t="shared" si="18"/>
        <v>253</v>
      </c>
      <c r="M88" s="22">
        <f t="shared" si="27"/>
        <v>30</v>
      </c>
      <c r="N88" t="s">
        <v>15</v>
      </c>
      <c r="O88">
        <f>VLOOKUP(Table5[[#This Row],[currency]],Table3[],2)</f>
        <v>1</v>
      </c>
      <c r="P88" s="18">
        <v>13564.5</v>
      </c>
      <c r="Q88" s="32">
        <f>Table5[[#This Row],[pledged]]*Table5[[#This Row],[Exchange_rate]]</f>
        <v>13564.5</v>
      </c>
      <c r="R88" s="33">
        <f>ROUND(Table5[[#This Row],[Pledged_USD]],0)</f>
        <v>13565</v>
      </c>
      <c r="S88" s="35">
        <v>8000</v>
      </c>
      <c r="T88" s="35">
        <f>VALUE(Table5[[#This Row],[goal_USD]])</f>
        <v>8000</v>
      </c>
      <c r="U88" t="s">
        <v>414</v>
      </c>
      <c r="V88" t="s">
        <v>680</v>
      </c>
      <c r="W88" t="str">
        <f t="shared" si="19"/>
        <v>Kiev, Kiev City Municipality</v>
      </c>
      <c r="X88" t="s">
        <v>536</v>
      </c>
      <c r="Y88" t="str">
        <f t="shared" si="20"/>
        <v>Ukraine</v>
      </c>
      <c r="Z88" t="s">
        <v>107</v>
      </c>
      <c r="AA88">
        <f t="shared" si="21"/>
        <v>54</v>
      </c>
      <c r="AB88" t="str">
        <f t="shared" si="22"/>
        <v>playing%20cards</v>
      </c>
      <c r="AC88" t="str">
        <f>SUBSTITUTE(Table5[[#This Row],[source_url_category]], "%20", " ")</f>
        <v>playing cards</v>
      </c>
      <c r="AD88" s="2" t="b">
        <v>0</v>
      </c>
      <c r="AE88" s="2" t="str">
        <f>LOWER(Table5[[#This Row],[staff_pick]])</f>
        <v>false</v>
      </c>
      <c r="AF88" t="s">
        <v>16</v>
      </c>
      <c r="AH88" s="19">
        <v>6818</v>
      </c>
      <c r="AI88" s="10"/>
    </row>
    <row r="89" spans="1:35" x14ac:dyDescent="0.2">
      <c r="A89" s="18">
        <v>1293602338</v>
      </c>
      <c r="B89" t="s">
        <v>64</v>
      </c>
      <c r="C89" t="str">
        <f>CONCATENATE(Table5[[#This Row],[id]], "-", PROPER(Table5[[#This Row],[name]]))</f>
        <v>1293602338-Steve Hampson'S Tabletop Games Kickstarter Report 2019</v>
      </c>
      <c r="D89" s="1">
        <v>43639</v>
      </c>
      <c r="E89" s="1">
        <v>43640</v>
      </c>
      <c r="F89" s="1">
        <v>43660</v>
      </c>
      <c r="G89" s="18">
        <f t="shared" si="23"/>
        <v>20</v>
      </c>
      <c r="H89" s="18">
        <f t="shared" si="24"/>
        <v>1</v>
      </c>
      <c r="I89" s="18">
        <f t="shared" si="25"/>
        <v>6</v>
      </c>
      <c r="J89" s="5" t="b">
        <f t="shared" si="26"/>
        <v>0</v>
      </c>
      <c r="K89" s="29">
        <v>31</v>
      </c>
      <c r="L89" s="29">
        <f t="shared" si="18"/>
        <v>31</v>
      </c>
      <c r="M89" s="22">
        <f t="shared" si="27"/>
        <v>20</v>
      </c>
      <c r="N89" t="s">
        <v>19</v>
      </c>
      <c r="O89">
        <f>VLOOKUP(Table5[[#This Row],[currency]],Table3[],2)</f>
        <v>1.49576325</v>
      </c>
      <c r="P89" s="18">
        <v>815</v>
      </c>
      <c r="Q89" s="32">
        <f>Table5[[#This Row],[pledged]]*Table5[[#This Row],[Exchange_rate]]</f>
        <v>1219.0470487499999</v>
      </c>
      <c r="R89" s="33">
        <f>ROUND(Table5[[#This Row],[Pledged_USD]],0)</f>
        <v>1219</v>
      </c>
      <c r="S89" s="35">
        <v>800</v>
      </c>
      <c r="T89" s="35">
        <f>VALUE(Table5[[#This Row],[goal_USD]])</f>
        <v>800</v>
      </c>
      <c r="U89" t="s">
        <v>511</v>
      </c>
      <c r="V89" t="s">
        <v>649</v>
      </c>
      <c r="W89" t="str">
        <f t="shared" si="19"/>
        <v>DUMBO, NY</v>
      </c>
      <c r="X89" t="s">
        <v>527</v>
      </c>
      <c r="Y89" t="str">
        <f t="shared" si="20"/>
        <v>United States</v>
      </c>
      <c r="Z89" t="s">
        <v>41</v>
      </c>
      <c r="AA89">
        <f t="shared" si="21"/>
        <v>54</v>
      </c>
      <c r="AB89" t="str">
        <f t="shared" si="22"/>
        <v>live%20games</v>
      </c>
      <c r="AC89" t="str">
        <f>SUBSTITUTE(Table5[[#This Row],[source_url_category]], "%20", " ")</f>
        <v>live games</v>
      </c>
      <c r="AD89" s="2" t="b">
        <v>0</v>
      </c>
      <c r="AE89" s="2" t="str">
        <f>LOWER(Table5[[#This Row],[staff_pick]])</f>
        <v>false</v>
      </c>
      <c r="AF89" t="s">
        <v>16</v>
      </c>
      <c r="AH89" s="19">
        <v>7169</v>
      </c>
      <c r="AI89" s="10"/>
    </row>
    <row r="90" spans="1:35" x14ac:dyDescent="0.2">
      <c r="A90" s="18">
        <v>1302123934</v>
      </c>
      <c r="B90" t="s">
        <v>223</v>
      </c>
      <c r="C90" t="str">
        <f>CONCATENATE(Table5[[#This Row],[id]], "-", PROPER(Table5[[#This Row],[name]]))</f>
        <v>1302123934-Incoming Transmission: Coop Deduction Boardgame (Plus App!)</v>
      </c>
      <c r="D90" s="1">
        <v>43641</v>
      </c>
      <c r="E90" s="1">
        <v>43676</v>
      </c>
      <c r="F90" s="1">
        <v>43704</v>
      </c>
      <c r="G90" s="18">
        <f t="shared" si="23"/>
        <v>28</v>
      </c>
      <c r="H90" s="18">
        <f t="shared" si="24"/>
        <v>2</v>
      </c>
      <c r="I90" s="18">
        <f t="shared" si="25"/>
        <v>7</v>
      </c>
      <c r="J90" s="5" t="b">
        <f t="shared" si="26"/>
        <v>0</v>
      </c>
      <c r="K90" s="28">
        <v>219</v>
      </c>
      <c r="L90" s="28">
        <f t="shared" si="18"/>
        <v>219</v>
      </c>
      <c r="M90" s="22">
        <f t="shared" si="27"/>
        <v>28</v>
      </c>
      <c r="N90" t="s">
        <v>15</v>
      </c>
      <c r="O90">
        <f>VLOOKUP(Table5[[#This Row],[currency]],Table3[],2)</f>
        <v>1</v>
      </c>
      <c r="P90" s="18">
        <v>1057</v>
      </c>
      <c r="Q90" s="32">
        <f>Table5[[#This Row],[pledged]]*Table5[[#This Row],[Exchange_rate]]</f>
        <v>1057</v>
      </c>
      <c r="R90" s="33">
        <f>ROUND(Table5[[#This Row],[Pledged_USD]],0)</f>
        <v>1057</v>
      </c>
      <c r="S90" s="35">
        <v>250</v>
      </c>
      <c r="T90" s="35">
        <f>VALUE(Table5[[#This Row],[goal_USD]])</f>
        <v>250</v>
      </c>
      <c r="U90" t="s">
        <v>401</v>
      </c>
      <c r="V90" t="s">
        <v>667</v>
      </c>
      <c r="W90" t="str">
        <f t="shared" si="19"/>
        <v>Salt Lake City, UT</v>
      </c>
      <c r="X90" t="s">
        <v>527</v>
      </c>
      <c r="Y90" t="str">
        <f t="shared" si="20"/>
        <v>United States</v>
      </c>
      <c r="Z90" t="s">
        <v>38</v>
      </c>
      <c r="AA90">
        <f t="shared" si="21"/>
        <v>54</v>
      </c>
      <c r="AB90" t="str">
        <f t="shared" si="22"/>
        <v>tabletop%20games</v>
      </c>
      <c r="AC90" t="str">
        <f>SUBSTITUTE(Table5[[#This Row],[source_url_category]], "%20", " ")</f>
        <v>tabletop games</v>
      </c>
      <c r="AD90" s="2" t="b">
        <v>0</v>
      </c>
      <c r="AE90" s="2" t="str">
        <f>LOWER(Table5[[#This Row],[staff_pick]])</f>
        <v>false</v>
      </c>
      <c r="AF90" t="s">
        <v>16</v>
      </c>
      <c r="AH90" s="19">
        <v>7339</v>
      </c>
      <c r="AI90" s="10"/>
    </row>
    <row r="91" spans="1:35" x14ac:dyDescent="0.2">
      <c r="A91" s="18">
        <v>1321289146</v>
      </c>
      <c r="B91" t="s">
        <v>74</v>
      </c>
      <c r="C91" t="str">
        <f>CONCATENATE(Table5[[#This Row],[id]], "-", PROPER(Table5[[#This Row],[name]]))</f>
        <v>1321289146-Rod, Reel, &amp; Fist</v>
      </c>
      <c r="D91" s="1">
        <v>43648</v>
      </c>
      <c r="E91" s="1">
        <v>43774</v>
      </c>
      <c r="F91" s="1">
        <v>43796</v>
      </c>
      <c r="G91" s="18">
        <f t="shared" si="23"/>
        <v>22</v>
      </c>
      <c r="H91" s="18">
        <f t="shared" si="24"/>
        <v>2</v>
      </c>
      <c r="I91" s="18">
        <f t="shared" si="25"/>
        <v>11</v>
      </c>
      <c r="J91" s="5" t="b">
        <f t="shared" si="26"/>
        <v>0</v>
      </c>
      <c r="K91" s="29">
        <v>712</v>
      </c>
      <c r="L91" s="29">
        <f t="shared" si="18"/>
        <v>712</v>
      </c>
      <c r="M91" s="22">
        <f t="shared" si="27"/>
        <v>22</v>
      </c>
      <c r="N91" t="s">
        <v>15</v>
      </c>
      <c r="O91">
        <f>VLOOKUP(Table5[[#This Row],[currency]],Table3[],2)</f>
        <v>1</v>
      </c>
      <c r="P91" s="18">
        <v>37048</v>
      </c>
      <c r="Q91" s="32">
        <f>Table5[[#This Row],[pledged]]*Table5[[#This Row],[Exchange_rate]]</f>
        <v>37048</v>
      </c>
      <c r="R91" s="33">
        <f>ROUND(Table5[[#This Row],[Pledged_USD]],0)</f>
        <v>37048</v>
      </c>
      <c r="S91" s="35">
        <v>23000</v>
      </c>
      <c r="T91" s="35">
        <f>VALUE(Table5[[#This Row],[goal_USD]])</f>
        <v>23000</v>
      </c>
      <c r="U91" t="s">
        <v>467</v>
      </c>
      <c r="V91" t="s">
        <v>653</v>
      </c>
      <c r="W91" t="str">
        <f t="shared" si="19"/>
        <v>Oshkosh, WI</v>
      </c>
      <c r="X91" t="s">
        <v>527</v>
      </c>
      <c r="Y91" t="str">
        <f t="shared" si="20"/>
        <v>United States</v>
      </c>
      <c r="Z91" t="s">
        <v>38</v>
      </c>
      <c r="AA91">
        <f t="shared" si="21"/>
        <v>54</v>
      </c>
      <c r="AB91" t="str">
        <f t="shared" si="22"/>
        <v>tabletop%20games</v>
      </c>
      <c r="AC91" t="str">
        <f>SUBSTITUTE(Table5[[#This Row],[source_url_category]], "%20", " ")</f>
        <v>tabletop games</v>
      </c>
      <c r="AD91" s="2" t="b">
        <v>0</v>
      </c>
      <c r="AE91" s="2" t="str">
        <f>LOWER(Table5[[#This Row],[staff_pick]])</f>
        <v>false</v>
      </c>
      <c r="AF91" t="s">
        <v>20</v>
      </c>
      <c r="AH91" s="19">
        <v>7402</v>
      </c>
      <c r="AI91" s="10"/>
    </row>
    <row r="92" spans="1:35" x14ac:dyDescent="0.2">
      <c r="A92" s="18">
        <v>1325891740</v>
      </c>
      <c r="B92" t="s">
        <v>165</v>
      </c>
      <c r="C92" t="str">
        <f>CONCATENATE(Table5[[#This Row],[id]], "-", PROPER(Table5[[#This Row],[name]]))</f>
        <v>1325891740-Camp Pinetop</v>
      </c>
      <c r="D92" s="1">
        <v>43649</v>
      </c>
      <c r="E92" s="1">
        <v>43693</v>
      </c>
      <c r="F92" s="1">
        <v>43724</v>
      </c>
      <c r="G92" s="18">
        <f t="shared" si="23"/>
        <v>31</v>
      </c>
      <c r="H92" s="18">
        <f t="shared" si="24"/>
        <v>5</v>
      </c>
      <c r="I92" s="18">
        <f t="shared" si="25"/>
        <v>8</v>
      </c>
      <c r="J92" s="5" t="b">
        <f t="shared" si="26"/>
        <v>0</v>
      </c>
      <c r="K92" s="28">
        <v>620</v>
      </c>
      <c r="L92" s="28">
        <f t="shared" si="18"/>
        <v>620</v>
      </c>
      <c r="M92" s="22">
        <f t="shared" si="27"/>
        <v>31</v>
      </c>
      <c r="N92" t="s">
        <v>19</v>
      </c>
      <c r="O92">
        <f>VLOOKUP(Table5[[#This Row],[currency]],Table3[],2)</f>
        <v>1.49576325</v>
      </c>
      <c r="P92" s="18">
        <v>24249</v>
      </c>
      <c r="Q92" s="32">
        <f>Table5[[#This Row],[pledged]]*Table5[[#This Row],[Exchange_rate]]</f>
        <v>36270.763049250003</v>
      </c>
      <c r="R92" s="33">
        <f>ROUND(Table5[[#This Row],[Pledged_USD]],0)</f>
        <v>36271</v>
      </c>
      <c r="S92" s="35">
        <v>1000</v>
      </c>
      <c r="T92" s="35">
        <f>VALUE(Table5[[#This Row],[goal_USD]])</f>
        <v>1000</v>
      </c>
      <c r="U92" t="s">
        <v>381</v>
      </c>
      <c r="V92" t="s">
        <v>681</v>
      </c>
      <c r="W92" t="str">
        <f t="shared" si="19"/>
        <v>Edinburgh, Scotland</v>
      </c>
      <c r="X92" t="s">
        <v>526</v>
      </c>
      <c r="Y92" t="str">
        <f t="shared" si="20"/>
        <v>United Kingdom</v>
      </c>
      <c r="Z92" t="s">
        <v>38</v>
      </c>
      <c r="AA92">
        <f t="shared" si="21"/>
        <v>54</v>
      </c>
      <c r="AB92" t="str">
        <f t="shared" si="22"/>
        <v>tabletop%20games</v>
      </c>
      <c r="AC92" t="str">
        <f>SUBSTITUTE(Table5[[#This Row],[source_url_category]], "%20", " ")</f>
        <v>tabletop games</v>
      </c>
      <c r="AD92" s="2" t="b">
        <v>0</v>
      </c>
      <c r="AE92" s="2" t="str">
        <f>LOWER(Table5[[#This Row],[staff_pick]])</f>
        <v>false</v>
      </c>
      <c r="AF92" t="s">
        <v>16</v>
      </c>
      <c r="AH92" s="19">
        <v>8522</v>
      </c>
      <c r="AI92" s="10"/>
    </row>
    <row r="93" spans="1:35" x14ac:dyDescent="0.2">
      <c r="A93" s="18">
        <v>1336875210</v>
      </c>
      <c r="B93" t="s">
        <v>203</v>
      </c>
      <c r="C93" t="str">
        <f>CONCATENATE(Table5[[#This Row],[id]], "-", PROPER(Table5[[#This Row],[name]]))</f>
        <v>1336875210-Montana: Goldrush &amp; Longhorns (Heritage Edition Expansions)</v>
      </c>
      <c r="D93" s="1">
        <v>43649</v>
      </c>
      <c r="E93" s="1">
        <v>43781</v>
      </c>
      <c r="F93" s="1">
        <v>43809</v>
      </c>
      <c r="G93" s="18">
        <f t="shared" si="23"/>
        <v>28</v>
      </c>
      <c r="H93" s="18">
        <f t="shared" si="24"/>
        <v>2</v>
      </c>
      <c r="I93" s="18">
        <f t="shared" si="25"/>
        <v>11</v>
      </c>
      <c r="J93" s="5" t="b">
        <f t="shared" si="26"/>
        <v>0</v>
      </c>
      <c r="K93" s="29">
        <v>77</v>
      </c>
      <c r="L93" s="29">
        <f t="shared" si="18"/>
        <v>77</v>
      </c>
      <c r="M93" s="22">
        <f t="shared" si="27"/>
        <v>28</v>
      </c>
      <c r="N93" t="s">
        <v>18</v>
      </c>
      <c r="O93">
        <f>VLOOKUP(Table5[[#This Row],[currency]],Table3[],2)</f>
        <v>1.16955371</v>
      </c>
      <c r="P93" s="18">
        <v>1411</v>
      </c>
      <c r="Q93" s="32">
        <f>Table5[[#This Row],[pledged]]*Table5[[#This Row],[Exchange_rate]]</f>
        <v>1650.24028481</v>
      </c>
      <c r="R93" s="33">
        <f>ROUND(Table5[[#This Row],[Pledged_USD]],0)</f>
        <v>1650</v>
      </c>
      <c r="S93" s="35">
        <v>500</v>
      </c>
      <c r="T93" s="35">
        <f>VALUE(Table5[[#This Row],[goal_USD]])</f>
        <v>500</v>
      </c>
      <c r="U93" t="s">
        <v>363</v>
      </c>
      <c r="V93" t="s">
        <v>682</v>
      </c>
      <c r="W93" t="str">
        <f t="shared" si="19"/>
        <v>Cologne, North Rhine-Westphalia</v>
      </c>
      <c r="X93" t="s">
        <v>528</v>
      </c>
      <c r="Y93" t="str">
        <f t="shared" si="20"/>
        <v>Germany</v>
      </c>
      <c r="Z93" t="s">
        <v>38</v>
      </c>
      <c r="AA93">
        <f t="shared" si="21"/>
        <v>54</v>
      </c>
      <c r="AB93" t="str">
        <f t="shared" si="22"/>
        <v>tabletop%20games</v>
      </c>
      <c r="AC93" t="str">
        <f>SUBSTITUTE(Table5[[#This Row],[source_url_category]], "%20", " ")</f>
        <v>tabletop games</v>
      </c>
      <c r="AD93" s="2" t="b">
        <v>0</v>
      </c>
      <c r="AE93" s="2" t="str">
        <f>LOWER(Table5[[#This Row],[staff_pick]])</f>
        <v>false</v>
      </c>
      <c r="AF93" t="s">
        <v>20</v>
      </c>
      <c r="AH93" s="19">
        <v>8927</v>
      </c>
      <c r="AI93" s="10"/>
    </row>
    <row r="94" spans="1:35" x14ac:dyDescent="0.2">
      <c r="A94" s="18">
        <v>1342385545</v>
      </c>
      <c r="B94" t="s">
        <v>237</v>
      </c>
      <c r="C94" t="str">
        <f>CONCATENATE(Table5[[#This Row],[id]], "-", PROPER(Table5[[#This Row],[name]]))</f>
        <v>1342385545-The Spy Game: 5Th Edition Action/Espionage Roleplaying Game</v>
      </c>
      <c r="D94" s="1">
        <v>43649</v>
      </c>
      <c r="E94" s="1">
        <v>43709</v>
      </c>
      <c r="F94" s="1">
        <v>43737</v>
      </c>
      <c r="G94" s="18">
        <f t="shared" si="23"/>
        <v>28</v>
      </c>
      <c r="H94" s="18">
        <f t="shared" si="24"/>
        <v>7</v>
      </c>
      <c r="I94" s="18">
        <f t="shared" si="25"/>
        <v>9</v>
      </c>
      <c r="J94" s="5" t="b">
        <f t="shared" si="26"/>
        <v>0</v>
      </c>
      <c r="K94" s="28">
        <v>812</v>
      </c>
      <c r="L94" s="28">
        <f t="shared" si="18"/>
        <v>812</v>
      </c>
      <c r="M94" s="22">
        <f t="shared" si="27"/>
        <v>28</v>
      </c>
      <c r="N94" t="s">
        <v>15</v>
      </c>
      <c r="O94">
        <f>VLOOKUP(Table5[[#This Row],[currency]],Table3[],2)</f>
        <v>1</v>
      </c>
      <c r="P94" s="18">
        <v>45701.01</v>
      </c>
      <c r="Q94" s="32">
        <f>Table5[[#This Row],[pledged]]*Table5[[#This Row],[Exchange_rate]]</f>
        <v>45701.01</v>
      </c>
      <c r="R94" s="33">
        <f>ROUND(Table5[[#This Row],[Pledged_USD]],0)</f>
        <v>45701</v>
      </c>
      <c r="S94" s="35">
        <v>5000</v>
      </c>
      <c r="T94" s="35">
        <f>VALUE(Table5[[#This Row],[goal_USD]])</f>
        <v>5000</v>
      </c>
      <c r="U94" t="s">
        <v>354</v>
      </c>
      <c r="V94" t="s">
        <v>668</v>
      </c>
      <c r="W94" t="str">
        <f t="shared" si="19"/>
        <v>Austin, TX</v>
      </c>
      <c r="X94" t="s">
        <v>527</v>
      </c>
      <c r="Y94" t="str">
        <f t="shared" si="20"/>
        <v>United States</v>
      </c>
      <c r="Z94" t="s">
        <v>38</v>
      </c>
      <c r="AA94">
        <f t="shared" si="21"/>
        <v>54</v>
      </c>
      <c r="AB94" t="str">
        <f t="shared" si="22"/>
        <v>tabletop%20games</v>
      </c>
      <c r="AC94" t="str">
        <f>SUBSTITUTE(Table5[[#This Row],[source_url_category]], "%20", " ")</f>
        <v>tabletop games</v>
      </c>
      <c r="AD94" s="2" t="b">
        <v>0</v>
      </c>
      <c r="AE94" s="2" t="str">
        <f>LOWER(Table5[[#This Row],[staff_pick]])</f>
        <v>false</v>
      </c>
      <c r="AF94" t="s">
        <v>16</v>
      </c>
      <c r="AH94" s="19">
        <v>9244.75</v>
      </c>
      <c r="AI94" s="10"/>
    </row>
    <row r="95" spans="1:35" x14ac:dyDescent="0.2">
      <c r="A95" s="18">
        <v>1361589531</v>
      </c>
      <c r="B95" t="s">
        <v>236</v>
      </c>
      <c r="C95" t="str">
        <f>CONCATENATE(Table5[[#This Row],[id]], "-", PROPER(Table5[[#This Row],[name]]))</f>
        <v>1361589531-Space Raiders - The Space Goblins!</v>
      </c>
      <c r="D95" s="1">
        <v>43650</v>
      </c>
      <c r="E95" s="1">
        <v>43756</v>
      </c>
      <c r="F95" s="1">
        <v>43786</v>
      </c>
      <c r="G95" s="18">
        <f t="shared" si="23"/>
        <v>30</v>
      </c>
      <c r="H95" s="18">
        <f t="shared" si="24"/>
        <v>5</v>
      </c>
      <c r="I95" s="18">
        <f t="shared" si="25"/>
        <v>10</v>
      </c>
      <c r="J95" s="5" t="b">
        <f t="shared" si="26"/>
        <v>0</v>
      </c>
      <c r="K95" s="29">
        <v>15</v>
      </c>
      <c r="L95" s="29">
        <f t="shared" si="18"/>
        <v>15</v>
      </c>
      <c r="M95" s="22">
        <f t="shared" si="27"/>
        <v>30</v>
      </c>
      <c r="N95" t="s">
        <v>15</v>
      </c>
      <c r="O95">
        <f>VLOOKUP(Table5[[#This Row],[currency]],Table3[],2)</f>
        <v>1</v>
      </c>
      <c r="P95" s="18">
        <v>915</v>
      </c>
      <c r="Q95" s="32">
        <f>Table5[[#This Row],[pledged]]*Table5[[#This Row],[Exchange_rate]]</f>
        <v>915</v>
      </c>
      <c r="R95" s="33">
        <f>ROUND(Table5[[#This Row],[Pledged_USD]],0)</f>
        <v>915</v>
      </c>
      <c r="S95" s="35">
        <v>7500</v>
      </c>
      <c r="T95" s="35">
        <f>VALUE(Table5[[#This Row],[goal_USD]])</f>
        <v>7500</v>
      </c>
      <c r="U95" t="s">
        <v>435</v>
      </c>
      <c r="V95" t="s">
        <v>683</v>
      </c>
      <c r="W95" t="str">
        <f t="shared" si="19"/>
        <v>New Albany, IN</v>
      </c>
      <c r="X95" t="s">
        <v>527</v>
      </c>
      <c r="Y95" t="str">
        <f t="shared" si="20"/>
        <v>United States</v>
      </c>
      <c r="Z95" t="s">
        <v>38</v>
      </c>
      <c r="AA95">
        <f t="shared" si="21"/>
        <v>54</v>
      </c>
      <c r="AB95" t="str">
        <f t="shared" si="22"/>
        <v>tabletop%20games</v>
      </c>
      <c r="AC95" t="str">
        <f>SUBSTITUTE(Table5[[#This Row],[source_url_category]], "%20", " ")</f>
        <v>tabletop games</v>
      </c>
      <c r="AD95" s="2" t="b">
        <v>0</v>
      </c>
      <c r="AE95" s="2" t="str">
        <f>LOWER(Table5[[#This Row],[staff_pick]])</f>
        <v>false</v>
      </c>
      <c r="AF95" t="s">
        <v>20</v>
      </c>
      <c r="AH95" s="19">
        <v>9766</v>
      </c>
      <c r="AI95" s="10"/>
    </row>
    <row r="96" spans="1:35" x14ac:dyDescent="0.2">
      <c r="A96" s="18">
        <v>1384863013</v>
      </c>
      <c r="B96" t="s">
        <v>112</v>
      </c>
      <c r="C96" t="str">
        <f>CONCATENATE(Table5[[#This Row],[id]], "-", PROPER(Table5[[#This Row],[name]]))</f>
        <v>1384863013-Insecta; A Transformations Deck Of Intricate Insects</v>
      </c>
      <c r="D96" s="1">
        <v>43650</v>
      </c>
      <c r="E96" s="1">
        <v>43767</v>
      </c>
      <c r="F96" s="1">
        <v>43791</v>
      </c>
      <c r="G96" s="18">
        <f t="shared" si="23"/>
        <v>24</v>
      </c>
      <c r="H96" s="18">
        <f t="shared" si="24"/>
        <v>2</v>
      </c>
      <c r="I96" s="18">
        <f t="shared" si="25"/>
        <v>10</v>
      </c>
      <c r="J96" s="5" t="b">
        <f t="shared" si="26"/>
        <v>0</v>
      </c>
      <c r="K96" s="28">
        <v>42</v>
      </c>
      <c r="L96" s="28">
        <f t="shared" si="18"/>
        <v>42</v>
      </c>
      <c r="M96" s="22">
        <f t="shared" si="27"/>
        <v>24</v>
      </c>
      <c r="N96" t="s">
        <v>22</v>
      </c>
      <c r="O96">
        <f>VLOOKUP(Table5[[#This Row],[currency]],Table3[],2)</f>
        <v>0.76932900999999998</v>
      </c>
      <c r="P96" s="18">
        <v>1784.29</v>
      </c>
      <c r="Q96" s="32">
        <f>Table5[[#This Row],[pledged]]*Table5[[#This Row],[Exchange_rate]]</f>
        <v>1372.7060592528999</v>
      </c>
      <c r="R96" s="33">
        <f>ROUND(Table5[[#This Row],[Pledged_USD]],0)</f>
        <v>1373</v>
      </c>
      <c r="S96" s="35">
        <v>9000</v>
      </c>
      <c r="T96" s="35">
        <f>VALUE(Table5[[#This Row],[goal_USD]])</f>
        <v>9000</v>
      </c>
      <c r="U96" t="s">
        <v>350</v>
      </c>
      <c r="V96" t="s">
        <v>679</v>
      </c>
      <c r="W96" t="str">
        <f t="shared" si="19"/>
        <v>Toronto, ON</v>
      </c>
      <c r="X96" t="s">
        <v>532</v>
      </c>
      <c r="Y96" t="str">
        <f t="shared" si="20"/>
        <v>Canada</v>
      </c>
      <c r="Z96" t="s">
        <v>38</v>
      </c>
      <c r="AA96">
        <f t="shared" si="21"/>
        <v>54</v>
      </c>
      <c r="AB96" t="str">
        <f t="shared" si="22"/>
        <v>tabletop%20games</v>
      </c>
      <c r="AC96" t="str">
        <f>SUBSTITUTE(Table5[[#This Row],[source_url_category]], "%20", " ")</f>
        <v>tabletop games</v>
      </c>
      <c r="AD96" s="2" t="b">
        <v>0</v>
      </c>
      <c r="AE96" s="2" t="str">
        <f>LOWER(Table5[[#This Row],[staff_pick]])</f>
        <v>false</v>
      </c>
      <c r="AF96" t="s">
        <v>20</v>
      </c>
      <c r="AH96" s="19">
        <v>9831</v>
      </c>
      <c r="AI96" s="10"/>
    </row>
    <row r="97" spans="1:35" x14ac:dyDescent="0.2">
      <c r="A97" s="18">
        <v>1388623378</v>
      </c>
      <c r="B97" t="s">
        <v>155</v>
      </c>
      <c r="C97" t="str">
        <f>CONCATENATE(Table5[[#This Row],[id]], "-", PROPER(Table5[[#This Row],[name]]))</f>
        <v>1388623378-Mine City</v>
      </c>
      <c r="D97" s="1">
        <v>43651</v>
      </c>
      <c r="E97" s="1">
        <v>43734</v>
      </c>
      <c r="F97" s="1">
        <v>43764</v>
      </c>
      <c r="G97" s="18">
        <f t="shared" si="23"/>
        <v>30</v>
      </c>
      <c r="H97" s="18">
        <f t="shared" si="24"/>
        <v>4</v>
      </c>
      <c r="I97" s="18">
        <f t="shared" si="25"/>
        <v>9</v>
      </c>
      <c r="J97" s="5" t="b">
        <f t="shared" si="26"/>
        <v>0</v>
      </c>
      <c r="K97" s="29">
        <v>314</v>
      </c>
      <c r="L97" s="29">
        <f t="shared" si="18"/>
        <v>314</v>
      </c>
      <c r="M97" s="22">
        <f t="shared" si="27"/>
        <v>30</v>
      </c>
      <c r="N97" t="s">
        <v>15</v>
      </c>
      <c r="O97">
        <f>VLOOKUP(Table5[[#This Row],[currency]],Table3[],2)</f>
        <v>1</v>
      </c>
      <c r="P97" s="18">
        <v>58293</v>
      </c>
      <c r="Q97" s="32">
        <f>Table5[[#This Row],[pledged]]*Table5[[#This Row],[Exchange_rate]]</f>
        <v>58293</v>
      </c>
      <c r="R97" s="33">
        <f>ROUND(Table5[[#This Row],[Pledged_USD]],0)</f>
        <v>58293</v>
      </c>
      <c r="S97" s="35">
        <v>5000</v>
      </c>
      <c r="T97" s="35">
        <f>VALUE(Table5[[#This Row],[goal_USD]])</f>
        <v>5000</v>
      </c>
      <c r="U97" t="s">
        <v>349</v>
      </c>
      <c r="V97" t="s">
        <v>684</v>
      </c>
      <c r="W97" t="str">
        <f t="shared" si="19"/>
        <v>Nashville, TN</v>
      </c>
      <c r="X97" t="s">
        <v>527</v>
      </c>
      <c r="Y97" t="str">
        <f t="shared" si="20"/>
        <v>United States</v>
      </c>
      <c r="Z97" t="s">
        <v>38</v>
      </c>
      <c r="AA97">
        <f t="shared" si="21"/>
        <v>54</v>
      </c>
      <c r="AB97" t="str">
        <f t="shared" si="22"/>
        <v>tabletop%20games</v>
      </c>
      <c r="AC97" t="str">
        <f>SUBSTITUTE(Table5[[#This Row],[source_url_category]], "%20", " ")</f>
        <v>tabletop games</v>
      </c>
      <c r="AD97" s="2" t="b">
        <v>0</v>
      </c>
      <c r="AE97" s="2" t="str">
        <f>LOWER(Table5[[#This Row],[staff_pick]])</f>
        <v>false</v>
      </c>
      <c r="AF97" t="s">
        <v>16</v>
      </c>
      <c r="AH97" s="19">
        <v>10558</v>
      </c>
      <c r="AI97" s="10"/>
    </row>
    <row r="98" spans="1:35" x14ac:dyDescent="0.2">
      <c r="A98" s="18">
        <v>1389755413</v>
      </c>
      <c r="B98" t="s">
        <v>218</v>
      </c>
      <c r="C98" t="str">
        <f>CONCATENATE(Table5[[#This Row],[id]], "-", PROPER(Table5[[#This Row],[name]]))</f>
        <v>1389755413-Devil Dogs: Belleau Wood 1918</v>
      </c>
      <c r="D98" s="1">
        <v>43654</v>
      </c>
      <c r="E98" s="1">
        <v>43725</v>
      </c>
      <c r="F98" s="1">
        <v>43755</v>
      </c>
      <c r="G98" s="18">
        <f t="shared" si="23"/>
        <v>30</v>
      </c>
      <c r="H98" s="18">
        <f t="shared" si="24"/>
        <v>2</v>
      </c>
      <c r="I98" s="18">
        <f t="shared" si="25"/>
        <v>9</v>
      </c>
      <c r="J98" s="5" t="b">
        <f t="shared" si="26"/>
        <v>0</v>
      </c>
      <c r="K98" s="28">
        <v>30</v>
      </c>
      <c r="L98" s="28">
        <f t="shared" ref="L98:L129" si="28">IF(OR(I98=1,I98=9), IF(AND(U98="Vancouver", Y98= "Canada"),K98+5, K98), K98)</f>
        <v>30</v>
      </c>
      <c r="M98" s="22">
        <f t="shared" si="27"/>
        <v>30</v>
      </c>
      <c r="N98" t="s">
        <v>15</v>
      </c>
      <c r="O98">
        <f>VLOOKUP(Table5[[#This Row],[currency]],Table3[],2)</f>
        <v>1</v>
      </c>
      <c r="P98" s="18">
        <v>2123</v>
      </c>
      <c r="Q98" s="32">
        <f>Table5[[#This Row],[pledged]]*Table5[[#This Row],[Exchange_rate]]</f>
        <v>2123</v>
      </c>
      <c r="R98" s="33">
        <f>ROUND(Table5[[#This Row],[Pledged_USD]],0)</f>
        <v>2123</v>
      </c>
      <c r="S98" s="35">
        <v>1000</v>
      </c>
      <c r="T98" s="35">
        <f>VALUE(Table5[[#This Row],[goal_USD]])</f>
        <v>1000</v>
      </c>
      <c r="U98" t="s">
        <v>439</v>
      </c>
      <c r="V98" t="s">
        <v>666</v>
      </c>
      <c r="W98" t="str">
        <f t="shared" ref="W98:W129" si="29">CONCATENATE(U98, ", ", V98)</f>
        <v>Fort Collins, CO</v>
      </c>
      <c r="X98" t="s">
        <v>527</v>
      </c>
      <c r="Y98" t="str">
        <f t="shared" ref="Y98:Y129" si="30">TRIM(X98)</f>
        <v>United States</v>
      </c>
      <c r="Z98" t="s">
        <v>38</v>
      </c>
      <c r="AA98">
        <f t="shared" ref="AA98:AA129" si="31">LEN("https://www.kickstarter.com/discover/categories/games/")</f>
        <v>54</v>
      </c>
      <c r="AB98" t="str">
        <f t="shared" ref="AB98:AB129" si="32">RIGHT(Z98,LEN(Z98)-54)</f>
        <v>tabletop%20games</v>
      </c>
      <c r="AC98" t="str">
        <f>SUBSTITUTE(Table5[[#This Row],[source_url_category]], "%20", " ")</f>
        <v>tabletop games</v>
      </c>
      <c r="AD98" s="2" t="b">
        <v>0</v>
      </c>
      <c r="AE98" s="2" t="str">
        <f>LOWER(Table5[[#This Row],[staff_pick]])</f>
        <v>false</v>
      </c>
      <c r="AF98" t="s">
        <v>16</v>
      </c>
      <c r="AH98" s="19">
        <v>10986</v>
      </c>
      <c r="AI98" s="10"/>
    </row>
    <row r="99" spans="1:35" x14ac:dyDescent="0.2">
      <c r="A99" s="18">
        <v>1428354446</v>
      </c>
      <c r="B99" t="s">
        <v>156</v>
      </c>
      <c r="C99" t="str">
        <f>CONCATENATE(Table5[[#This Row],[id]], "-", PROPER(Table5[[#This Row],[name]]))</f>
        <v>1428354446-The Few And Cursed: Board Game</v>
      </c>
      <c r="D99" s="1">
        <v>43661</v>
      </c>
      <c r="E99" s="1">
        <v>43668</v>
      </c>
      <c r="F99" s="1">
        <v>43695</v>
      </c>
      <c r="G99" s="18">
        <f t="shared" si="23"/>
        <v>27</v>
      </c>
      <c r="H99" s="18">
        <f t="shared" si="24"/>
        <v>1</v>
      </c>
      <c r="I99" s="18">
        <f t="shared" si="25"/>
        <v>7</v>
      </c>
      <c r="J99" s="5" t="b">
        <f t="shared" si="26"/>
        <v>0</v>
      </c>
      <c r="K99" s="29">
        <v>160</v>
      </c>
      <c r="L99" s="29">
        <f t="shared" si="28"/>
        <v>160</v>
      </c>
      <c r="M99" s="22">
        <f t="shared" si="27"/>
        <v>27</v>
      </c>
      <c r="N99" t="s">
        <v>18</v>
      </c>
      <c r="O99">
        <f>VLOOKUP(Table5[[#This Row],[currency]],Table3[],2)</f>
        <v>1.16955371</v>
      </c>
      <c r="P99" s="18">
        <v>9831</v>
      </c>
      <c r="Q99" s="32">
        <f>Table5[[#This Row],[pledged]]*Table5[[#This Row],[Exchange_rate]]</f>
        <v>11497.882523009999</v>
      </c>
      <c r="R99" s="33">
        <f>ROUND(Table5[[#This Row],[Pledged_USD]],0)</f>
        <v>11498</v>
      </c>
      <c r="S99" s="35">
        <v>1000</v>
      </c>
      <c r="T99" s="35">
        <f>VALUE(Table5[[#This Row],[goal_USD]])</f>
        <v>1000</v>
      </c>
      <c r="U99" t="s">
        <v>445</v>
      </c>
      <c r="V99" t="s">
        <v>671</v>
      </c>
      <c r="W99" t="str">
        <f t="shared" si="29"/>
        <v>Krempe, Schleswig-Holstein</v>
      </c>
      <c r="X99" t="s">
        <v>528</v>
      </c>
      <c r="Y99" t="str">
        <f t="shared" si="30"/>
        <v>Germany</v>
      </c>
      <c r="Z99" t="s">
        <v>38</v>
      </c>
      <c r="AA99">
        <f t="shared" si="31"/>
        <v>54</v>
      </c>
      <c r="AB99" t="str">
        <f t="shared" si="32"/>
        <v>tabletop%20games</v>
      </c>
      <c r="AC99" t="str">
        <f>SUBSTITUTE(Table5[[#This Row],[source_url_category]], "%20", " ")</f>
        <v>tabletop games</v>
      </c>
      <c r="AD99" s="2" t="b">
        <v>0</v>
      </c>
      <c r="AE99" s="2" t="str">
        <f>LOWER(Table5[[#This Row],[staff_pick]])</f>
        <v>false</v>
      </c>
      <c r="AF99" t="s">
        <v>16</v>
      </c>
      <c r="AH99" s="19">
        <v>11063</v>
      </c>
      <c r="AI99" s="10"/>
    </row>
    <row r="100" spans="1:35" x14ac:dyDescent="0.2">
      <c r="A100" s="18">
        <v>1430382857</v>
      </c>
      <c r="B100" t="s">
        <v>201</v>
      </c>
      <c r="C100" t="str">
        <f>CONCATENATE(Table5[[#This Row],[id]], "-", PROPER(Table5[[#This Row],[name]]))</f>
        <v>1430382857-Capers Covert Rpg</v>
      </c>
      <c r="D100" s="1">
        <v>43661</v>
      </c>
      <c r="E100" s="1">
        <v>43725</v>
      </c>
      <c r="F100" s="1">
        <v>43749</v>
      </c>
      <c r="G100" s="18">
        <f t="shared" si="23"/>
        <v>24</v>
      </c>
      <c r="H100" s="18">
        <f t="shared" si="24"/>
        <v>2</v>
      </c>
      <c r="I100" s="18">
        <f t="shared" si="25"/>
        <v>9</v>
      </c>
      <c r="J100" s="5" t="b">
        <f t="shared" si="26"/>
        <v>0</v>
      </c>
      <c r="K100" s="28">
        <v>306</v>
      </c>
      <c r="L100" s="28">
        <f t="shared" si="28"/>
        <v>306</v>
      </c>
      <c r="M100" s="22">
        <f t="shared" si="27"/>
        <v>24</v>
      </c>
      <c r="N100" t="s">
        <v>15</v>
      </c>
      <c r="O100">
        <f>VLOOKUP(Table5[[#This Row],[currency]],Table3[],2)</f>
        <v>1</v>
      </c>
      <c r="P100" s="18">
        <v>5585</v>
      </c>
      <c r="Q100" s="32">
        <f>Table5[[#This Row],[pledged]]*Table5[[#This Row],[Exchange_rate]]</f>
        <v>5585</v>
      </c>
      <c r="R100" s="33">
        <f>ROUND(Table5[[#This Row],[Pledged_USD]],0)</f>
        <v>5585</v>
      </c>
      <c r="S100" s="35">
        <v>1000</v>
      </c>
      <c r="T100" s="35">
        <f>VALUE(Table5[[#This Row],[goal_USD]])</f>
        <v>1000</v>
      </c>
      <c r="U100" t="s">
        <v>469</v>
      </c>
      <c r="V100" t="s">
        <v>675</v>
      </c>
      <c r="W100" t="str">
        <f t="shared" si="29"/>
        <v>Marietta, GA</v>
      </c>
      <c r="X100" t="s">
        <v>527</v>
      </c>
      <c r="Y100" t="str">
        <f t="shared" si="30"/>
        <v>United States</v>
      </c>
      <c r="Z100" t="s">
        <v>38</v>
      </c>
      <c r="AA100">
        <f t="shared" si="31"/>
        <v>54</v>
      </c>
      <c r="AB100" t="str">
        <f t="shared" si="32"/>
        <v>tabletop%20games</v>
      </c>
      <c r="AC100" t="str">
        <f>SUBSTITUTE(Table5[[#This Row],[source_url_category]], "%20", " ")</f>
        <v>tabletop games</v>
      </c>
      <c r="AD100" s="2" t="b">
        <v>0</v>
      </c>
      <c r="AE100" s="2" t="str">
        <f>LOWER(Table5[[#This Row],[staff_pick]])</f>
        <v>false</v>
      </c>
      <c r="AF100" t="s">
        <v>16</v>
      </c>
      <c r="AH100" s="19">
        <v>12400</v>
      </c>
      <c r="AI100" s="10"/>
    </row>
    <row r="101" spans="1:35" x14ac:dyDescent="0.2">
      <c r="A101" s="18">
        <v>1433669141</v>
      </c>
      <c r="B101" t="s">
        <v>81</v>
      </c>
      <c r="C101" t="str">
        <f>CONCATENATE(Table5[[#This Row],[id]], "-", PROPER(Table5[[#This Row],[name]]))</f>
        <v>1433669141-American Civil War Printable Terrain Tabletop And Modeling</v>
      </c>
      <c r="D101" s="1">
        <v>43662</v>
      </c>
      <c r="E101" s="1">
        <v>43774</v>
      </c>
      <c r="F101" s="1">
        <v>43797</v>
      </c>
      <c r="G101" s="18">
        <f t="shared" si="23"/>
        <v>23</v>
      </c>
      <c r="H101" s="18">
        <f t="shared" si="24"/>
        <v>2</v>
      </c>
      <c r="I101" s="18">
        <f t="shared" si="25"/>
        <v>11</v>
      </c>
      <c r="J101" s="5" t="b">
        <f t="shared" si="26"/>
        <v>0</v>
      </c>
      <c r="K101" s="29">
        <v>1609</v>
      </c>
      <c r="L101" s="29">
        <f t="shared" si="28"/>
        <v>1609</v>
      </c>
      <c r="M101" s="22">
        <f t="shared" si="27"/>
        <v>23</v>
      </c>
      <c r="N101" t="s">
        <v>19</v>
      </c>
      <c r="O101">
        <f>VLOOKUP(Table5[[#This Row],[currency]],Table3[],2)</f>
        <v>1.49576325</v>
      </c>
      <c r="P101" s="18">
        <v>136578</v>
      </c>
      <c r="Q101" s="32">
        <f>Table5[[#This Row],[pledged]]*Table5[[#This Row],[Exchange_rate]]</f>
        <v>204288.35315849999</v>
      </c>
      <c r="R101" s="33">
        <f>ROUND(Table5[[#This Row],[Pledged_USD]],0)</f>
        <v>204288</v>
      </c>
      <c r="S101" s="35">
        <v>80000</v>
      </c>
      <c r="T101" s="35">
        <f>VALUE(Table5[[#This Row],[goal_USD]])</f>
        <v>80000</v>
      </c>
      <c r="U101" t="s">
        <v>426</v>
      </c>
      <c r="V101" t="s">
        <v>685</v>
      </c>
      <c r="W101" t="str">
        <f t="shared" si="29"/>
        <v>Pozna≈Ñ, Lublin</v>
      </c>
      <c r="X101" t="s">
        <v>531</v>
      </c>
      <c r="Y101" t="str">
        <f t="shared" si="30"/>
        <v>Poland</v>
      </c>
      <c r="Z101" t="s">
        <v>38</v>
      </c>
      <c r="AA101">
        <f t="shared" si="31"/>
        <v>54</v>
      </c>
      <c r="AB101" t="str">
        <f t="shared" si="32"/>
        <v>tabletop%20games</v>
      </c>
      <c r="AC101" t="str">
        <f>SUBSTITUTE(Table5[[#This Row],[source_url_category]], "%20", " ")</f>
        <v>tabletop games</v>
      </c>
      <c r="AD101" s="2" t="b">
        <v>0</v>
      </c>
      <c r="AE101" s="2" t="str">
        <f>LOWER(Table5[[#This Row],[staff_pick]])</f>
        <v>false</v>
      </c>
      <c r="AF101" t="s">
        <v>20</v>
      </c>
      <c r="AH101" s="19">
        <v>13032</v>
      </c>
      <c r="AI101" s="10"/>
    </row>
    <row r="102" spans="1:35" x14ac:dyDescent="0.2">
      <c r="A102" s="18">
        <v>1439972235</v>
      </c>
      <c r="B102" t="s">
        <v>160</v>
      </c>
      <c r="C102" t="str">
        <f>CONCATENATE(Table5[[#This Row],[id]], "-", PROPER(Table5[[#This Row],[name]]))</f>
        <v>1439972235-Spark: The Magic Of Storytelling</v>
      </c>
      <c r="D102" s="1">
        <v>43663</v>
      </c>
      <c r="E102" s="1">
        <v>43663</v>
      </c>
      <c r="F102" s="1">
        <v>43683</v>
      </c>
      <c r="G102" s="18">
        <f t="shared" si="23"/>
        <v>20</v>
      </c>
      <c r="H102" s="18">
        <f t="shared" si="24"/>
        <v>3</v>
      </c>
      <c r="I102" s="18">
        <f t="shared" si="25"/>
        <v>7</v>
      </c>
      <c r="J102" s="5" t="b">
        <f t="shared" si="26"/>
        <v>1</v>
      </c>
      <c r="K102" s="28">
        <v>7</v>
      </c>
      <c r="L102" s="28">
        <f t="shared" si="28"/>
        <v>7</v>
      </c>
      <c r="M102" s="22">
        <f t="shared" si="27"/>
        <v>20</v>
      </c>
      <c r="N102" t="s">
        <v>18</v>
      </c>
      <c r="O102">
        <f>VLOOKUP(Table5[[#This Row],[currency]],Table3[],2)</f>
        <v>1.16955371</v>
      </c>
      <c r="P102" s="18">
        <v>1004</v>
      </c>
      <c r="Q102" s="32">
        <f>Table5[[#This Row],[pledged]]*Table5[[#This Row],[Exchange_rate]]</f>
        <v>1174.2319248399999</v>
      </c>
      <c r="R102" s="33">
        <f>ROUND(Table5[[#This Row],[Pledged_USD]],0)</f>
        <v>1174</v>
      </c>
      <c r="S102" s="35">
        <v>1000</v>
      </c>
      <c r="T102" s="35">
        <f>VALUE(Table5[[#This Row],[goal_USD]])</f>
        <v>1000</v>
      </c>
      <c r="U102" t="s">
        <v>343</v>
      </c>
      <c r="V102" t="s">
        <v>343</v>
      </c>
      <c r="W102" t="str">
        <f t="shared" si="29"/>
        <v>Berlin, Berlin</v>
      </c>
      <c r="X102" t="s">
        <v>528</v>
      </c>
      <c r="Y102" t="str">
        <f t="shared" si="30"/>
        <v>Germany</v>
      </c>
      <c r="Z102" t="s">
        <v>41</v>
      </c>
      <c r="AA102">
        <f t="shared" si="31"/>
        <v>54</v>
      </c>
      <c r="AB102" t="str">
        <f t="shared" si="32"/>
        <v>live%20games</v>
      </c>
      <c r="AC102" t="str">
        <f>SUBSTITUTE(Table5[[#This Row],[source_url_category]], "%20", " ")</f>
        <v>live games</v>
      </c>
      <c r="AD102" s="2" t="b">
        <v>0</v>
      </c>
      <c r="AE102" s="2" t="str">
        <f>LOWER(Table5[[#This Row],[staff_pick]])</f>
        <v>false</v>
      </c>
      <c r="AF102" t="s">
        <v>24</v>
      </c>
      <c r="AH102" s="19">
        <v>13564.5</v>
      </c>
      <c r="AI102" s="10"/>
    </row>
    <row r="103" spans="1:35" x14ac:dyDescent="0.2">
      <c r="A103" s="18">
        <v>1471383303</v>
      </c>
      <c r="B103" t="s">
        <v>110</v>
      </c>
      <c r="C103" t="str">
        <f>CONCATENATE(Table5[[#This Row],[id]], "-", PROPER(Table5[[#This Row],[name]]))</f>
        <v>1471383303-Heritage Luxury Playing Cards ‚Îç Printed By Cartamundi</v>
      </c>
      <c r="D103" s="1">
        <v>43663</v>
      </c>
      <c r="E103" s="1">
        <v>43683</v>
      </c>
      <c r="F103" s="1">
        <v>43704</v>
      </c>
      <c r="G103" s="18">
        <f t="shared" si="23"/>
        <v>21</v>
      </c>
      <c r="H103" s="18">
        <f t="shared" si="24"/>
        <v>2</v>
      </c>
      <c r="I103" s="18">
        <f t="shared" si="25"/>
        <v>8</v>
      </c>
      <c r="J103" s="5" t="b">
        <f t="shared" si="26"/>
        <v>0</v>
      </c>
      <c r="K103" s="29">
        <v>482</v>
      </c>
      <c r="L103" s="29">
        <f t="shared" si="28"/>
        <v>482</v>
      </c>
      <c r="M103" s="22">
        <f t="shared" si="27"/>
        <v>21</v>
      </c>
      <c r="N103" t="s">
        <v>19</v>
      </c>
      <c r="O103">
        <f>VLOOKUP(Table5[[#This Row],[currency]],Table3[],2)</f>
        <v>1.49576325</v>
      </c>
      <c r="P103" s="18">
        <v>11063</v>
      </c>
      <c r="Q103" s="32">
        <f>Table5[[#This Row],[pledged]]*Table5[[#This Row],[Exchange_rate]]</f>
        <v>16547.628834750001</v>
      </c>
      <c r="R103" s="33">
        <f>ROUND(Table5[[#This Row],[Pledged_USD]],0)</f>
        <v>16548</v>
      </c>
      <c r="S103" s="35">
        <v>2000</v>
      </c>
      <c r="T103" s="35">
        <f>VALUE(Table5[[#This Row],[goal_USD]])</f>
        <v>2000</v>
      </c>
      <c r="U103" t="s">
        <v>509</v>
      </c>
      <c r="V103" t="s">
        <v>686</v>
      </c>
      <c r="W103" t="str">
        <f t="shared" si="29"/>
        <v>Bydgoszcz, Kuiavia-Pomerania</v>
      </c>
      <c r="X103" t="s">
        <v>531</v>
      </c>
      <c r="Y103" t="str">
        <f t="shared" si="30"/>
        <v>Poland</v>
      </c>
      <c r="Z103" t="s">
        <v>38</v>
      </c>
      <c r="AA103">
        <f t="shared" si="31"/>
        <v>54</v>
      </c>
      <c r="AB103" t="str">
        <f t="shared" si="32"/>
        <v>tabletop%20games</v>
      </c>
      <c r="AC103" t="str">
        <f>SUBSTITUTE(Table5[[#This Row],[source_url_category]], "%20", " ")</f>
        <v>tabletop games</v>
      </c>
      <c r="AD103" s="2" t="b">
        <v>0</v>
      </c>
      <c r="AE103" s="2" t="str">
        <f>LOWER(Table5[[#This Row],[staff_pick]])</f>
        <v>false</v>
      </c>
      <c r="AF103" t="s">
        <v>16</v>
      </c>
      <c r="AH103" s="19">
        <v>14147</v>
      </c>
      <c r="AI103" s="10"/>
    </row>
    <row r="104" spans="1:35" x14ac:dyDescent="0.2">
      <c r="A104" s="18">
        <v>1475393080</v>
      </c>
      <c r="B104" t="s">
        <v>124</v>
      </c>
      <c r="C104" t="str">
        <f>CONCATENATE(Table5[[#This Row],[id]], "-", PROPER(Table5[[#This Row],[name]]))</f>
        <v>1475393080-G.O.H.K (Game Of Hong Kong)</v>
      </c>
      <c r="D104" s="1">
        <v>43667</v>
      </c>
      <c r="E104" s="1">
        <v>43677</v>
      </c>
      <c r="F104" s="1">
        <v>43698</v>
      </c>
      <c r="G104" s="18">
        <f t="shared" si="23"/>
        <v>21</v>
      </c>
      <c r="H104" s="18">
        <f t="shared" si="24"/>
        <v>3</v>
      </c>
      <c r="I104" s="18">
        <f t="shared" si="25"/>
        <v>7</v>
      </c>
      <c r="J104" s="5" t="b">
        <f t="shared" si="26"/>
        <v>0</v>
      </c>
      <c r="K104" s="28">
        <v>183</v>
      </c>
      <c r="L104" s="28">
        <f t="shared" si="28"/>
        <v>183</v>
      </c>
      <c r="M104" s="22">
        <f t="shared" si="27"/>
        <v>21</v>
      </c>
      <c r="N104" t="s">
        <v>34</v>
      </c>
      <c r="O104">
        <f>VLOOKUP(Table5[[#This Row],[currency]],Table3[],2)</f>
        <v>0.12847297999999999</v>
      </c>
      <c r="P104" s="18">
        <v>24176</v>
      </c>
      <c r="Q104" s="32">
        <f>Table5[[#This Row],[pledged]]*Table5[[#This Row],[Exchange_rate]]</f>
        <v>3105.9627644799998</v>
      </c>
      <c r="R104" s="33">
        <f>ROUND(Table5[[#This Row],[Pledged_USD]],0)</f>
        <v>3106</v>
      </c>
      <c r="S104" s="35">
        <v>3000</v>
      </c>
      <c r="T104" s="35">
        <f>VALUE(Table5[[#This Row],[goal_USD]])</f>
        <v>3000</v>
      </c>
      <c r="U104" t="s">
        <v>408</v>
      </c>
      <c r="V104" t="s">
        <v>672</v>
      </c>
      <c r="W104" t="str">
        <f t="shared" si="29"/>
        <v>Hong Kong, Hong Kong Island</v>
      </c>
      <c r="X104" t="s">
        <v>535</v>
      </c>
      <c r="Y104" t="str">
        <f t="shared" si="30"/>
        <v>Hong Kong</v>
      </c>
      <c r="Z104" t="s">
        <v>38</v>
      </c>
      <c r="AA104">
        <f t="shared" si="31"/>
        <v>54</v>
      </c>
      <c r="AB104" t="str">
        <f t="shared" si="32"/>
        <v>tabletop%20games</v>
      </c>
      <c r="AC104" t="str">
        <f>SUBSTITUTE(Table5[[#This Row],[source_url_category]], "%20", " ")</f>
        <v>tabletop games</v>
      </c>
      <c r="AD104" s="2" t="b">
        <v>0</v>
      </c>
      <c r="AE104" s="2" t="str">
        <f>LOWER(Table5[[#This Row],[staff_pick]])</f>
        <v>false</v>
      </c>
      <c r="AF104" t="s">
        <v>16</v>
      </c>
      <c r="AH104" s="19">
        <v>15047</v>
      </c>
      <c r="AI104" s="10"/>
    </row>
    <row r="105" spans="1:35" x14ac:dyDescent="0.2">
      <c r="A105" s="18">
        <v>1482962260</v>
      </c>
      <c r="B105" t="s">
        <v>150</v>
      </c>
      <c r="C105" t="str">
        <f>CONCATENATE(Table5[[#This Row],[id]], "-", PROPER(Table5[[#This Row],[name]]))</f>
        <v>1482962260-Blume</v>
      </c>
      <c r="D105" s="1">
        <v>43670</v>
      </c>
      <c r="E105" s="1">
        <v>43693</v>
      </c>
      <c r="F105" s="1">
        <v>43711</v>
      </c>
      <c r="G105" s="18">
        <f t="shared" si="23"/>
        <v>18</v>
      </c>
      <c r="H105" s="18">
        <f t="shared" si="24"/>
        <v>5</v>
      </c>
      <c r="I105" s="18">
        <f t="shared" si="25"/>
        <v>8</v>
      </c>
      <c r="K105" s="29">
        <v>29</v>
      </c>
      <c r="L105" s="29">
        <f t="shared" si="28"/>
        <v>29</v>
      </c>
      <c r="M105" s="22">
        <f t="shared" si="27"/>
        <v>18</v>
      </c>
      <c r="N105" t="s">
        <v>15</v>
      </c>
      <c r="O105">
        <f>VLOOKUP(Table5[[#This Row],[currency]],Table3[],2)</f>
        <v>1</v>
      </c>
      <c r="P105" s="18">
        <v>2612</v>
      </c>
      <c r="Q105" s="32">
        <f>Table5[[#This Row],[pledged]]*Table5[[#This Row],[Exchange_rate]]</f>
        <v>2612</v>
      </c>
      <c r="R105" s="33">
        <f>ROUND(Table5[[#This Row],[Pledged_USD]],0)</f>
        <v>2612</v>
      </c>
      <c r="S105" s="35">
        <v>650</v>
      </c>
      <c r="T105" s="35">
        <f>VALUE(Table5[[#This Row],[goal_USD]])</f>
        <v>650</v>
      </c>
      <c r="U105" t="s">
        <v>434</v>
      </c>
      <c r="V105" t="s">
        <v>687</v>
      </c>
      <c r="W105" t="str">
        <f t="shared" si="29"/>
        <v>Beverly, MA</v>
      </c>
      <c r="X105" t="s">
        <v>527</v>
      </c>
      <c r="Y105" t="str">
        <f t="shared" si="30"/>
        <v>United States</v>
      </c>
      <c r="Z105" t="s">
        <v>38</v>
      </c>
      <c r="AA105">
        <f t="shared" si="31"/>
        <v>54</v>
      </c>
      <c r="AB105" t="str">
        <f t="shared" si="32"/>
        <v>tabletop%20games</v>
      </c>
      <c r="AC105" t="str">
        <f>SUBSTITUTE(Table5[[#This Row],[source_url_category]], "%20", " ")</f>
        <v>tabletop games</v>
      </c>
      <c r="AD105" s="2" t="b">
        <v>0</v>
      </c>
      <c r="AE105" s="2" t="str">
        <f>LOWER(Table5[[#This Row],[staff_pick]])</f>
        <v>false</v>
      </c>
      <c r="AF105" t="s">
        <v>16</v>
      </c>
      <c r="AH105" s="19">
        <v>15456</v>
      </c>
      <c r="AI105" s="10"/>
    </row>
    <row r="106" spans="1:35" x14ac:dyDescent="0.2">
      <c r="A106" s="18">
        <v>1485641700</v>
      </c>
      <c r="B106" t="s">
        <v>198</v>
      </c>
      <c r="C106" t="str">
        <f>CONCATENATE(Table5[[#This Row],[id]], "-", PROPER(Table5[[#This Row],[name]]))</f>
        <v>1485641700-The Road To Hell - 3D Print-Ready Models</v>
      </c>
      <c r="D106" s="1">
        <v>43670</v>
      </c>
      <c r="E106" s="1">
        <v>43676</v>
      </c>
      <c r="F106" s="1">
        <v>43690</v>
      </c>
      <c r="G106" s="18">
        <f t="shared" si="23"/>
        <v>14</v>
      </c>
      <c r="H106" s="18">
        <f t="shared" si="24"/>
        <v>2</v>
      </c>
      <c r="I106" s="18">
        <f t="shared" si="25"/>
        <v>7</v>
      </c>
      <c r="K106" s="28">
        <v>102</v>
      </c>
      <c r="L106" s="28">
        <f t="shared" si="28"/>
        <v>102</v>
      </c>
      <c r="M106" s="22">
        <f t="shared" si="27"/>
        <v>14</v>
      </c>
      <c r="N106" t="s">
        <v>15</v>
      </c>
      <c r="O106">
        <f>VLOOKUP(Table5[[#This Row],[currency]],Table3[],2)</f>
        <v>1</v>
      </c>
      <c r="P106" s="18">
        <v>2145</v>
      </c>
      <c r="Q106" s="32">
        <f>Table5[[#This Row],[pledged]]*Table5[[#This Row],[Exchange_rate]]</f>
        <v>2145</v>
      </c>
      <c r="R106" s="33">
        <f>ROUND(Table5[[#This Row],[Pledged_USD]],0)</f>
        <v>2145</v>
      </c>
      <c r="S106" s="35">
        <v>500</v>
      </c>
      <c r="T106" s="35">
        <f>VALUE(Table5[[#This Row],[goal_USD]])</f>
        <v>500</v>
      </c>
      <c r="U106" t="s">
        <v>391</v>
      </c>
      <c r="V106" t="s">
        <v>684</v>
      </c>
      <c r="W106" t="str">
        <f t="shared" si="29"/>
        <v>Memphis, TN</v>
      </c>
      <c r="X106" t="s">
        <v>527</v>
      </c>
      <c r="Y106" t="str">
        <f t="shared" si="30"/>
        <v>United States</v>
      </c>
      <c r="Z106" t="s">
        <v>38</v>
      </c>
      <c r="AA106">
        <f t="shared" si="31"/>
        <v>54</v>
      </c>
      <c r="AB106" t="str">
        <f t="shared" si="32"/>
        <v>tabletop%20games</v>
      </c>
      <c r="AC106" t="str">
        <f>SUBSTITUTE(Table5[[#This Row],[source_url_category]], "%20", " ")</f>
        <v>tabletop games</v>
      </c>
      <c r="AD106" s="2" t="b">
        <v>0</v>
      </c>
      <c r="AE106" s="2" t="str">
        <f>LOWER(Table5[[#This Row],[staff_pick]])</f>
        <v>false</v>
      </c>
      <c r="AF106" t="s">
        <v>16</v>
      </c>
      <c r="AH106" s="19">
        <v>15805</v>
      </c>
      <c r="AI106" s="10"/>
    </row>
    <row r="107" spans="1:35" x14ac:dyDescent="0.2">
      <c r="A107" s="18">
        <v>1487861879</v>
      </c>
      <c r="B107" t="s">
        <v>159</v>
      </c>
      <c r="C107" t="str">
        <f>CONCATENATE(Table5[[#This Row],[id]], "-", PROPER(Table5[[#This Row],[name]]))</f>
        <v>1487861879-Monsters Of The Underworld For 5E</v>
      </c>
      <c r="D107" s="1">
        <v>43671</v>
      </c>
      <c r="E107" s="1">
        <v>43690</v>
      </c>
      <c r="F107" s="1">
        <v>43735</v>
      </c>
      <c r="G107" s="18">
        <f t="shared" si="23"/>
        <v>45</v>
      </c>
      <c r="H107" s="18">
        <f t="shared" si="24"/>
        <v>2</v>
      </c>
      <c r="I107" s="18">
        <f t="shared" si="25"/>
        <v>8</v>
      </c>
      <c r="K107" s="29">
        <v>26</v>
      </c>
      <c r="L107" s="29">
        <f t="shared" si="28"/>
        <v>26</v>
      </c>
      <c r="M107" s="22">
        <f t="shared" si="27"/>
        <v>45</v>
      </c>
      <c r="N107" t="s">
        <v>22</v>
      </c>
      <c r="O107">
        <f>VLOOKUP(Table5[[#This Row],[currency]],Table3[],2)</f>
        <v>0.76932900999999998</v>
      </c>
      <c r="P107" s="18">
        <v>1427.29</v>
      </c>
      <c r="Q107" s="32">
        <f>Table5[[#This Row],[pledged]]*Table5[[#This Row],[Exchange_rate]]</f>
        <v>1098.0556026828999</v>
      </c>
      <c r="R107" s="33">
        <f>ROUND(Table5[[#This Row],[Pledged_USD]],0)</f>
        <v>1098</v>
      </c>
      <c r="S107" s="35">
        <v>20000</v>
      </c>
      <c r="T107" s="35">
        <f>VALUE(Table5[[#This Row],[goal_USD]])</f>
        <v>20000</v>
      </c>
      <c r="U107" t="s">
        <v>393</v>
      </c>
      <c r="V107" t="s">
        <v>688</v>
      </c>
      <c r="W107" t="str">
        <f t="shared" si="29"/>
        <v>Calgary, AB</v>
      </c>
      <c r="X107" t="s">
        <v>532</v>
      </c>
      <c r="Y107" t="str">
        <f t="shared" si="30"/>
        <v>Canada</v>
      </c>
      <c r="Z107" t="s">
        <v>41</v>
      </c>
      <c r="AA107">
        <f t="shared" si="31"/>
        <v>54</v>
      </c>
      <c r="AB107" t="str">
        <f t="shared" si="32"/>
        <v>live%20games</v>
      </c>
      <c r="AC107" t="str">
        <f>SUBSTITUTE(Table5[[#This Row],[source_url_category]], "%20", " ")</f>
        <v>live games</v>
      </c>
      <c r="AD107" s="2" t="b">
        <v>0</v>
      </c>
      <c r="AE107" s="2" t="str">
        <f>LOWER(Table5[[#This Row],[staff_pick]])</f>
        <v>false</v>
      </c>
      <c r="AF107" t="s">
        <v>17</v>
      </c>
      <c r="AH107" s="19">
        <v>16047</v>
      </c>
      <c r="AI107" s="10"/>
    </row>
    <row r="108" spans="1:35" x14ac:dyDescent="0.2">
      <c r="A108" s="18">
        <v>1494377696</v>
      </c>
      <c r="B108" t="s">
        <v>221</v>
      </c>
      <c r="C108" t="str">
        <f>CONCATENATE(Table5[[#This Row],[id]], "-", PROPER(Table5[[#This Row],[name]]))</f>
        <v>1494377696-Talespire</v>
      </c>
      <c r="D108" s="1">
        <v>43672</v>
      </c>
      <c r="E108" s="1">
        <v>43682</v>
      </c>
      <c r="F108" s="1">
        <v>43690</v>
      </c>
      <c r="G108" s="18">
        <f t="shared" si="23"/>
        <v>8</v>
      </c>
      <c r="H108" s="18">
        <f t="shared" si="24"/>
        <v>1</v>
      </c>
      <c r="I108" s="18">
        <f t="shared" si="25"/>
        <v>8</v>
      </c>
      <c r="K108" s="28">
        <v>17</v>
      </c>
      <c r="L108" s="28">
        <f t="shared" si="28"/>
        <v>17</v>
      </c>
      <c r="M108" s="22">
        <f t="shared" si="27"/>
        <v>8</v>
      </c>
      <c r="N108" t="s">
        <v>19</v>
      </c>
      <c r="O108">
        <f>VLOOKUP(Table5[[#This Row],[currency]],Table3[],2)</f>
        <v>1.49576325</v>
      </c>
      <c r="P108" s="18">
        <v>367</v>
      </c>
      <c r="Q108" s="32">
        <f>Table5[[#This Row],[pledged]]*Table5[[#This Row],[Exchange_rate]]</f>
        <v>548.94511275000002</v>
      </c>
      <c r="R108" s="33">
        <f>ROUND(Table5[[#This Row],[Pledged_USD]],0)</f>
        <v>549</v>
      </c>
      <c r="S108" s="35">
        <v>20</v>
      </c>
      <c r="T108" s="35">
        <f>VALUE(Table5[[#This Row],[goal_USD]])</f>
        <v>20</v>
      </c>
      <c r="U108" t="s">
        <v>437</v>
      </c>
      <c r="V108" t="s">
        <v>650</v>
      </c>
      <c r="W108" t="str">
        <f t="shared" si="29"/>
        <v>Northampton, England</v>
      </c>
      <c r="X108" t="s">
        <v>526</v>
      </c>
      <c r="Y108" t="str">
        <f t="shared" si="30"/>
        <v>United Kingdom</v>
      </c>
      <c r="Z108" t="s">
        <v>38</v>
      </c>
      <c r="AA108">
        <f t="shared" si="31"/>
        <v>54</v>
      </c>
      <c r="AB108" t="str">
        <f t="shared" si="32"/>
        <v>tabletop%20games</v>
      </c>
      <c r="AC108" t="str">
        <f>SUBSTITUTE(Table5[[#This Row],[source_url_category]], "%20", " ")</f>
        <v>tabletop games</v>
      </c>
      <c r="AD108" s="2" t="b">
        <v>0</v>
      </c>
      <c r="AE108" s="2" t="str">
        <f>LOWER(Table5[[#This Row],[staff_pick]])</f>
        <v>false</v>
      </c>
      <c r="AF108" t="s">
        <v>16</v>
      </c>
      <c r="AH108" s="19">
        <v>16854</v>
      </c>
      <c r="AI108" s="10"/>
    </row>
    <row r="109" spans="1:35" x14ac:dyDescent="0.2">
      <c r="A109" s="18">
        <v>1511224826</v>
      </c>
      <c r="B109" t="s">
        <v>254</v>
      </c>
      <c r="C109" t="str">
        <f>CONCATENATE(Table5[[#This Row],[id]], "-", PROPER(Table5[[#This Row],[name]]))</f>
        <v>1511224826-Space Base Ii -Futuristic / Apocalyptic Scenery Stls In 28Mm</v>
      </c>
      <c r="D109" s="1">
        <v>43675</v>
      </c>
      <c r="E109" s="1">
        <v>43709</v>
      </c>
      <c r="F109" s="1">
        <v>43739</v>
      </c>
      <c r="G109" s="18">
        <f t="shared" si="23"/>
        <v>30</v>
      </c>
      <c r="H109" s="18">
        <f t="shared" si="24"/>
        <v>7</v>
      </c>
      <c r="I109" s="18">
        <f t="shared" si="25"/>
        <v>9</v>
      </c>
      <c r="K109" s="29">
        <v>105</v>
      </c>
      <c r="L109" s="29">
        <f t="shared" si="28"/>
        <v>105</v>
      </c>
      <c r="M109" s="22">
        <f t="shared" si="27"/>
        <v>30</v>
      </c>
      <c r="N109" t="s">
        <v>15</v>
      </c>
      <c r="O109">
        <f>VLOOKUP(Table5[[#This Row],[currency]],Table3[],2)</f>
        <v>1</v>
      </c>
      <c r="P109" s="18">
        <v>4527</v>
      </c>
      <c r="Q109" s="32">
        <f>Table5[[#This Row],[pledged]]*Table5[[#This Row],[Exchange_rate]]</f>
        <v>4527</v>
      </c>
      <c r="R109" s="33">
        <f>ROUND(Table5[[#This Row],[Pledged_USD]],0)</f>
        <v>4527</v>
      </c>
      <c r="S109" s="35">
        <v>1000</v>
      </c>
      <c r="T109" s="35">
        <f>VALUE(Table5[[#This Row],[goal_USD]])</f>
        <v>1000</v>
      </c>
      <c r="U109" t="s">
        <v>398</v>
      </c>
      <c r="V109" t="s">
        <v>666</v>
      </c>
      <c r="W109" t="str">
        <f t="shared" si="29"/>
        <v>Colorado Springs, CO</v>
      </c>
      <c r="X109" t="s">
        <v>527</v>
      </c>
      <c r="Y109" t="str">
        <f t="shared" si="30"/>
        <v>United States</v>
      </c>
      <c r="Z109" t="s">
        <v>38</v>
      </c>
      <c r="AA109">
        <f t="shared" si="31"/>
        <v>54</v>
      </c>
      <c r="AB109" t="str">
        <f t="shared" si="32"/>
        <v>tabletop%20games</v>
      </c>
      <c r="AC109" t="str">
        <f>SUBSTITUTE(Table5[[#This Row],[source_url_category]], "%20", " ")</f>
        <v>tabletop games</v>
      </c>
      <c r="AD109" s="2" t="b">
        <v>0</v>
      </c>
      <c r="AE109" s="2" t="str">
        <f>LOWER(Table5[[#This Row],[staff_pick]])</f>
        <v>false</v>
      </c>
      <c r="AF109" t="s">
        <v>16</v>
      </c>
      <c r="AH109" s="19">
        <v>17396</v>
      </c>
      <c r="AI109" s="10"/>
    </row>
    <row r="110" spans="1:35" x14ac:dyDescent="0.2">
      <c r="A110" s="18">
        <v>1513076599</v>
      </c>
      <c r="B110" t="s">
        <v>58</v>
      </c>
      <c r="C110" t="str">
        <f>CONCATENATE(Table5[[#This Row],[id]], "-", PROPER(Table5[[#This Row],[name]]))</f>
        <v>1513076599-Dice Spell Tracker</v>
      </c>
      <c r="D110" s="1">
        <v>43676</v>
      </c>
      <c r="E110" s="1">
        <v>43679</v>
      </c>
      <c r="F110" s="1">
        <v>43709</v>
      </c>
      <c r="G110" s="18">
        <f t="shared" si="23"/>
        <v>30</v>
      </c>
      <c r="H110" s="18">
        <f t="shared" si="24"/>
        <v>5</v>
      </c>
      <c r="I110" s="18">
        <f t="shared" si="25"/>
        <v>8</v>
      </c>
      <c r="K110" s="28">
        <v>23</v>
      </c>
      <c r="L110" s="28">
        <f t="shared" si="28"/>
        <v>23</v>
      </c>
      <c r="M110" s="22">
        <f t="shared" si="27"/>
        <v>30</v>
      </c>
      <c r="N110" t="s">
        <v>15</v>
      </c>
      <c r="O110">
        <f>VLOOKUP(Table5[[#This Row],[currency]],Table3[],2)</f>
        <v>1</v>
      </c>
      <c r="P110" s="18">
        <v>821</v>
      </c>
      <c r="Q110" s="32">
        <f>Table5[[#This Row],[pledged]]*Table5[[#This Row],[Exchange_rate]]</f>
        <v>821</v>
      </c>
      <c r="R110" s="33">
        <f>ROUND(Table5[[#This Row],[Pledged_USD]],0)</f>
        <v>821</v>
      </c>
      <c r="S110" s="35">
        <v>750</v>
      </c>
      <c r="T110" s="35">
        <f>VALUE(Table5[[#This Row],[goal_USD]])</f>
        <v>750</v>
      </c>
      <c r="U110" t="s">
        <v>355</v>
      </c>
      <c r="V110" t="s">
        <v>663</v>
      </c>
      <c r="W110" t="str">
        <f t="shared" si="29"/>
        <v>Chicago, IL</v>
      </c>
      <c r="X110" t="s">
        <v>527</v>
      </c>
      <c r="Y110" t="str">
        <f t="shared" si="30"/>
        <v>United States</v>
      </c>
      <c r="Z110" t="s">
        <v>41</v>
      </c>
      <c r="AA110">
        <f t="shared" si="31"/>
        <v>54</v>
      </c>
      <c r="AB110" t="str">
        <f t="shared" si="32"/>
        <v>live%20games</v>
      </c>
      <c r="AC110" t="str">
        <f>SUBSTITUTE(Table5[[#This Row],[source_url_category]], "%20", " ")</f>
        <v>live games</v>
      </c>
      <c r="AD110" s="2" t="b">
        <v>0</v>
      </c>
      <c r="AE110" s="2" t="str">
        <f>LOWER(Table5[[#This Row],[staff_pick]])</f>
        <v>false</v>
      </c>
      <c r="AF110" t="s">
        <v>16</v>
      </c>
      <c r="AH110" s="19">
        <v>18800</v>
      </c>
      <c r="AI110" s="10"/>
    </row>
    <row r="111" spans="1:35" x14ac:dyDescent="0.2">
      <c r="A111" s="18">
        <v>1561309532</v>
      </c>
      <c r="B111" t="s">
        <v>153</v>
      </c>
      <c r="C111" t="str">
        <f>CONCATENATE(Table5[[#This Row],[id]], "-", PROPER(Table5[[#This Row],[name]]))</f>
        <v>1561309532-Raccoon Tycoon: The Fat Cat Expansion</v>
      </c>
      <c r="D111" s="1">
        <v>43681</v>
      </c>
      <c r="E111" s="1">
        <v>43685</v>
      </c>
      <c r="F111" s="1">
        <v>43704</v>
      </c>
      <c r="G111" s="18">
        <f t="shared" si="23"/>
        <v>19</v>
      </c>
      <c r="H111" s="18">
        <f t="shared" si="24"/>
        <v>4</v>
      </c>
      <c r="I111" s="18">
        <f t="shared" si="25"/>
        <v>8</v>
      </c>
      <c r="K111" s="29">
        <v>39</v>
      </c>
      <c r="L111" s="29">
        <f t="shared" si="28"/>
        <v>39</v>
      </c>
      <c r="M111" s="22">
        <f t="shared" si="27"/>
        <v>19</v>
      </c>
      <c r="N111" t="s">
        <v>18</v>
      </c>
      <c r="O111">
        <f>VLOOKUP(Table5[[#This Row],[currency]],Table3[],2)</f>
        <v>1.16955371</v>
      </c>
      <c r="P111" s="18">
        <v>1416</v>
      </c>
      <c r="Q111" s="32">
        <f>Table5[[#This Row],[pledged]]*Table5[[#This Row],[Exchange_rate]]</f>
        <v>1656.08805336</v>
      </c>
      <c r="R111" s="33">
        <f>ROUND(Table5[[#This Row],[Pledged_USD]],0)</f>
        <v>1656</v>
      </c>
      <c r="S111" s="35">
        <v>1</v>
      </c>
      <c r="T111" s="35">
        <f>VALUE(Table5[[#This Row],[goal_USD]])</f>
        <v>1</v>
      </c>
      <c r="U111" t="s">
        <v>449</v>
      </c>
      <c r="V111" t="s">
        <v>646</v>
      </c>
      <c r="W111" t="str">
        <f t="shared" si="29"/>
        <v>Milano, Lombardy</v>
      </c>
      <c r="X111" t="s">
        <v>533</v>
      </c>
      <c r="Y111" t="str">
        <f t="shared" si="30"/>
        <v>Italy</v>
      </c>
      <c r="Z111" t="s">
        <v>38</v>
      </c>
      <c r="AA111">
        <f t="shared" si="31"/>
        <v>54</v>
      </c>
      <c r="AB111" t="str">
        <f t="shared" si="32"/>
        <v>tabletop%20games</v>
      </c>
      <c r="AC111" t="str">
        <f>SUBSTITUTE(Table5[[#This Row],[source_url_category]], "%20", " ")</f>
        <v>tabletop games</v>
      </c>
      <c r="AD111" s="2" t="b">
        <v>0</v>
      </c>
      <c r="AE111" s="2" t="str">
        <f>LOWER(Table5[[#This Row],[staff_pick]])</f>
        <v>false</v>
      </c>
      <c r="AF111" t="s">
        <v>16</v>
      </c>
      <c r="AH111" s="19">
        <v>18819</v>
      </c>
      <c r="AI111" s="10"/>
    </row>
    <row r="112" spans="1:35" x14ac:dyDescent="0.2">
      <c r="A112" s="18">
        <v>1571195851</v>
      </c>
      <c r="B112" t="s">
        <v>171</v>
      </c>
      <c r="C112" t="str">
        <f>CONCATENATE(Table5[[#This Row],[id]], "-", PROPER(Table5[[#This Row],[name]]))</f>
        <v>1571195851-Amazons!</v>
      </c>
      <c r="D112" s="1">
        <v>43682</v>
      </c>
      <c r="E112" s="1">
        <v>43776</v>
      </c>
      <c r="F112" s="1">
        <v>43791</v>
      </c>
      <c r="G112" s="18">
        <f t="shared" si="23"/>
        <v>15</v>
      </c>
      <c r="H112" s="18">
        <f t="shared" si="24"/>
        <v>4</v>
      </c>
      <c r="I112" s="18">
        <f t="shared" si="25"/>
        <v>11</v>
      </c>
      <c r="K112" s="28">
        <v>21</v>
      </c>
      <c r="L112" s="28">
        <f t="shared" si="28"/>
        <v>21</v>
      </c>
      <c r="M112" s="22">
        <f t="shared" si="27"/>
        <v>15</v>
      </c>
      <c r="N112" t="s">
        <v>19</v>
      </c>
      <c r="O112">
        <f>VLOOKUP(Table5[[#This Row],[currency]],Table3[],2)</f>
        <v>1.49576325</v>
      </c>
      <c r="P112" s="18">
        <v>741</v>
      </c>
      <c r="Q112" s="32">
        <f>Table5[[#This Row],[pledged]]*Table5[[#This Row],[Exchange_rate]]</f>
        <v>1108.3605682499999</v>
      </c>
      <c r="R112" s="33">
        <f>ROUND(Table5[[#This Row],[Pledged_USD]],0)</f>
        <v>1108</v>
      </c>
      <c r="S112" s="35">
        <v>1500</v>
      </c>
      <c r="T112" s="35">
        <f>VALUE(Table5[[#This Row],[goal_USD]])</f>
        <v>1500</v>
      </c>
      <c r="U112" t="s">
        <v>471</v>
      </c>
      <c r="V112" t="s">
        <v>650</v>
      </c>
      <c r="W112" t="str">
        <f t="shared" si="29"/>
        <v>Cambridgeshire, England</v>
      </c>
      <c r="X112" t="s">
        <v>526</v>
      </c>
      <c r="Y112" t="str">
        <f t="shared" si="30"/>
        <v>United Kingdom</v>
      </c>
      <c r="Z112" t="s">
        <v>38</v>
      </c>
      <c r="AA112">
        <f t="shared" si="31"/>
        <v>54</v>
      </c>
      <c r="AB112" t="str">
        <f t="shared" si="32"/>
        <v>tabletop%20games</v>
      </c>
      <c r="AC112" t="str">
        <f>SUBSTITUTE(Table5[[#This Row],[source_url_category]], "%20", " ")</f>
        <v>tabletop games</v>
      </c>
      <c r="AD112" s="2" t="b">
        <v>0</v>
      </c>
      <c r="AE112" s="2" t="str">
        <f>LOWER(Table5[[#This Row],[staff_pick]])</f>
        <v>false</v>
      </c>
      <c r="AF112" t="s">
        <v>20</v>
      </c>
      <c r="AH112" s="19">
        <v>20861</v>
      </c>
      <c r="AI112" s="10"/>
    </row>
    <row r="113" spans="1:35" x14ac:dyDescent="0.2">
      <c r="A113" s="18">
        <v>1588933145</v>
      </c>
      <c r="B113" t="s">
        <v>273</v>
      </c>
      <c r="C113" t="str">
        <f>CONCATENATE(Table5[[#This Row],[id]], "-", PROPER(Table5[[#This Row],[name]]))</f>
        <v>1588933145-Warchess</v>
      </c>
      <c r="D113" s="1">
        <v>43686</v>
      </c>
      <c r="E113" s="1">
        <v>43692</v>
      </c>
      <c r="F113" s="1">
        <v>43722</v>
      </c>
      <c r="G113" s="18">
        <f t="shared" si="23"/>
        <v>30</v>
      </c>
      <c r="H113" s="18">
        <f t="shared" si="24"/>
        <v>4</v>
      </c>
      <c r="I113" s="18">
        <f t="shared" si="25"/>
        <v>8</v>
      </c>
      <c r="K113" s="29">
        <v>944</v>
      </c>
      <c r="L113" s="29">
        <f t="shared" si="28"/>
        <v>944</v>
      </c>
      <c r="M113" s="22">
        <f t="shared" si="27"/>
        <v>30</v>
      </c>
      <c r="N113" t="s">
        <v>15</v>
      </c>
      <c r="O113">
        <f>VLOOKUP(Table5[[#This Row],[currency]],Table3[],2)</f>
        <v>1</v>
      </c>
      <c r="P113" s="18">
        <v>120066</v>
      </c>
      <c r="Q113" s="32">
        <f>Table5[[#This Row],[pledged]]*Table5[[#This Row],[Exchange_rate]]</f>
        <v>120066</v>
      </c>
      <c r="R113" s="33">
        <f>ROUND(Table5[[#This Row],[Pledged_USD]],0)</f>
        <v>120066</v>
      </c>
      <c r="S113" s="35">
        <v>7000</v>
      </c>
      <c r="T113" s="35">
        <f>VALUE(Table5[[#This Row],[goal_USD]])</f>
        <v>7000</v>
      </c>
      <c r="U113" t="s">
        <v>338</v>
      </c>
      <c r="V113" t="s">
        <v>23</v>
      </c>
      <c r="W113" t="str">
        <f t="shared" si="29"/>
        <v>Los Angeles, CA</v>
      </c>
      <c r="X113" t="s">
        <v>527</v>
      </c>
      <c r="Y113" t="str">
        <f t="shared" si="30"/>
        <v>United States</v>
      </c>
      <c r="Z113" t="s">
        <v>107</v>
      </c>
      <c r="AA113">
        <f t="shared" si="31"/>
        <v>54</v>
      </c>
      <c r="AB113" t="str">
        <f t="shared" si="32"/>
        <v>playing%20cards</v>
      </c>
      <c r="AC113" t="str">
        <f>SUBSTITUTE(Table5[[#This Row],[source_url_category]], "%20", " ")</f>
        <v>playing cards</v>
      </c>
      <c r="AD113" s="2" t="b">
        <v>1</v>
      </c>
      <c r="AE113" s="2" t="str">
        <f>LOWER(Table5[[#This Row],[staff_pick]])</f>
        <v>true</v>
      </c>
      <c r="AF113" t="s">
        <v>16</v>
      </c>
      <c r="AH113" s="19">
        <v>21604.29</v>
      </c>
      <c r="AI113" s="10"/>
    </row>
    <row r="114" spans="1:35" x14ac:dyDescent="0.2">
      <c r="A114" s="18">
        <v>1623104570</v>
      </c>
      <c r="B114" t="s">
        <v>243</v>
      </c>
      <c r="C114" t="str">
        <f>CONCATENATE(Table5[[#This Row],[id]], "-", PROPER(Table5[[#This Row],[name]]))</f>
        <v>1623104570-Dry Erase Game Tokens</v>
      </c>
      <c r="D114" s="1">
        <v>43686</v>
      </c>
      <c r="E114" s="1">
        <v>43732</v>
      </c>
      <c r="F114" s="1">
        <v>43756</v>
      </c>
      <c r="G114" s="18">
        <f t="shared" si="23"/>
        <v>24</v>
      </c>
      <c r="H114" s="18">
        <f t="shared" si="24"/>
        <v>2</v>
      </c>
      <c r="I114" s="18">
        <f t="shared" si="25"/>
        <v>9</v>
      </c>
      <c r="K114" s="28">
        <v>657</v>
      </c>
      <c r="L114" s="28">
        <f t="shared" si="28"/>
        <v>657</v>
      </c>
      <c r="M114" s="22">
        <f t="shared" si="27"/>
        <v>24</v>
      </c>
      <c r="N114" t="s">
        <v>15</v>
      </c>
      <c r="O114">
        <f>VLOOKUP(Table5[[#This Row],[currency]],Table3[],2)</f>
        <v>1</v>
      </c>
      <c r="P114" s="18">
        <v>18819</v>
      </c>
      <c r="Q114" s="32">
        <f>Table5[[#This Row],[pledged]]*Table5[[#This Row],[Exchange_rate]]</f>
        <v>18819</v>
      </c>
      <c r="R114" s="33">
        <f>ROUND(Table5[[#This Row],[Pledged_USD]],0)</f>
        <v>18819</v>
      </c>
      <c r="S114" s="35">
        <v>15000</v>
      </c>
      <c r="T114" s="35">
        <f>VALUE(Table5[[#This Row],[goal_USD]])</f>
        <v>15000</v>
      </c>
      <c r="U114" t="s">
        <v>415</v>
      </c>
      <c r="V114" t="s">
        <v>647</v>
      </c>
      <c r="W114" t="str">
        <f t="shared" si="29"/>
        <v>Surprise, AZ</v>
      </c>
      <c r="X114" t="s">
        <v>527</v>
      </c>
      <c r="Y114" t="str">
        <f t="shared" si="30"/>
        <v>United States</v>
      </c>
      <c r="Z114" t="s">
        <v>38</v>
      </c>
      <c r="AA114">
        <f t="shared" si="31"/>
        <v>54</v>
      </c>
      <c r="AB114" t="str">
        <f t="shared" si="32"/>
        <v>tabletop%20games</v>
      </c>
      <c r="AC114" t="str">
        <f>SUBSTITUTE(Table5[[#This Row],[source_url_category]], "%20", " ")</f>
        <v>tabletop games</v>
      </c>
      <c r="AD114" s="2" t="b">
        <v>0</v>
      </c>
      <c r="AE114" s="2" t="str">
        <f>LOWER(Table5[[#This Row],[staff_pick]])</f>
        <v>false</v>
      </c>
      <c r="AF114" t="s">
        <v>16</v>
      </c>
      <c r="AH114" s="19">
        <v>23347</v>
      </c>
      <c r="AI114" s="10"/>
    </row>
    <row r="115" spans="1:35" x14ac:dyDescent="0.2">
      <c r="A115" s="18">
        <v>1626880018</v>
      </c>
      <c r="B115" t="s">
        <v>276</v>
      </c>
      <c r="C115" t="str">
        <f>CONCATENATE(Table5[[#This Row],[id]], "-", PROPER(Table5[[#This Row],[name]]))</f>
        <v>1626880018-Cochin Industrial District: 3D Printable World Building</v>
      </c>
      <c r="D115" s="1">
        <v>43687</v>
      </c>
      <c r="E115" s="1">
        <v>43692</v>
      </c>
      <c r="F115" s="1">
        <v>43713</v>
      </c>
      <c r="G115" s="18">
        <f t="shared" si="23"/>
        <v>21</v>
      </c>
      <c r="H115" s="18">
        <f t="shared" si="24"/>
        <v>4</v>
      </c>
      <c r="I115" s="18">
        <f t="shared" si="25"/>
        <v>8</v>
      </c>
      <c r="K115" s="29">
        <v>7838</v>
      </c>
      <c r="L115" s="29">
        <f t="shared" si="28"/>
        <v>7838</v>
      </c>
      <c r="M115" s="22">
        <f t="shared" si="27"/>
        <v>21</v>
      </c>
      <c r="N115" t="s">
        <v>15</v>
      </c>
      <c r="O115">
        <f>VLOOKUP(Table5[[#This Row],[currency]],Table3[],2)</f>
        <v>1</v>
      </c>
      <c r="P115" s="18">
        <v>431368.21</v>
      </c>
      <c r="Q115" s="32">
        <f>Table5[[#This Row],[pledged]]*Table5[[#This Row],[Exchange_rate]]</f>
        <v>431368.21</v>
      </c>
      <c r="R115" s="33">
        <f>ROUND(Table5[[#This Row],[Pledged_USD]],0)</f>
        <v>431368</v>
      </c>
      <c r="S115" s="35">
        <v>25000</v>
      </c>
      <c r="T115" s="35">
        <f>VALUE(Table5[[#This Row],[goal_USD]])</f>
        <v>25000</v>
      </c>
      <c r="U115" t="s">
        <v>444</v>
      </c>
      <c r="V115" t="s">
        <v>667</v>
      </c>
      <c r="W115" t="str">
        <f t="shared" si="29"/>
        <v>Centerville, UT</v>
      </c>
      <c r="X115" t="s">
        <v>527</v>
      </c>
      <c r="Y115" t="str">
        <f t="shared" si="30"/>
        <v>United States</v>
      </c>
      <c r="Z115" t="s">
        <v>38</v>
      </c>
      <c r="AA115">
        <f t="shared" si="31"/>
        <v>54</v>
      </c>
      <c r="AB115" t="str">
        <f t="shared" si="32"/>
        <v>tabletop%20games</v>
      </c>
      <c r="AC115" t="str">
        <f>SUBSTITUTE(Table5[[#This Row],[source_url_category]], "%20", " ")</f>
        <v>tabletop games</v>
      </c>
      <c r="AD115" s="2" t="b">
        <v>1</v>
      </c>
      <c r="AE115" s="2" t="str">
        <f>LOWER(Table5[[#This Row],[staff_pick]])</f>
        <v>true</v>
      </c>
      <c r="AF115" t="s">
        <v>16</v>
      </c>
      <c r="AH115" s="19">
        <v>24135</v>
      </c>
      <c r="AI115" s="10"/>
    </row>
    <row r="116" spans="1:35" x14ac:dyDescent="0.2">
      <c r="A116" s="18">
        <v>1630292080</v>
      </c>
      <c r="B116" t="s">
        <v>139</v>
      </c>
      <c r="C116" t="str">
        <f>CONCATENATE(Table5[[#This Row],[id]], "-", PROPER(Table5[[#This Row],[name]]))</f>
        <v>1630292080-Matter Playing Cards</v>
      </c>
      <c r="D116" s="1">
        <v>43688</v>
      </c>
      <c r="E116" s="1">
        <v>43753</v>
      </c>
      <c r="F116" s="1">
        <v>43784</v>
      </c>
      <c r="G116" s="18">
        <f t="shared" si="23"/>
        <v>31</v>
      </c>
      <c r="H116" s="18">
        <f t="shared" si="24"/>
        <v>2</v>
      </c>
      <c r="I116" s="18">
        <f t="shared" si="25"/>
        <v>10</v>
      </c>
      <c r="K116" s="28">
        <v>105</v>
      </c>
      <c r="L116" s="28">
        <f t="shared" si="28"/>
        <v>105</v>
      </c>
      <c r="M116" s="22">
        <f t="shared" si="27"/>
        <v>31</v>
      </c>
      <c r="N116" t="s">
        <v>15</v>
      </c>
      <c r="O116">
        <f>VLOOKUP(Table5[[#This Row],[currency]],Table3[],2)</f>
        <v>1</v>
      </c>
      <c r="P116" s="18">
        <v>6553</v>
      </c>
      <c r="Q116" s="32">
        <f>Table5[[#This Row],[pledged]]*Table5[[#This Row],[Exchange_rate]]</f>
        <v>6553</v>
      </c>
      <c r="R116" s="33">
        <f>ROUND(Table5[[#This Row],[Pledged_USD]],0)</f>
        <v>6553</v>
      </c>
      <c r="S116" s="35">
        <v>5500</v>
      </c>
      <c r="T116" s="35">
        <f>VALUE(Table5[[#This Row],[goal_USD]])</f>
        <v>5500</v>
      </c>
      <c r="U116" t="s">
        <v>463</v>
      </c>
      <c r="V116" t="s">
        <v>654</v>
      </c>
      <c r="W116" t="str">
        <f t="shared" si="29"/>
        <v>Bangor, PA</v>
      </c>
      <c r="X116" t="s">
        <v>527</v>
      </c>
      <c r="Y116" t="str">
        <f t="shared" si="30"/>
        <v>United States</v>
      </c>
      <c r="Z116" t="s">
        <v>38</v>
      </c>
      <c r="AA116">
        <f t="shared" si="31"/>
        <v>54</v>
      </c>
      <c r="AB116" t="str">
        <f t="shared" si="32"/>
        <v>tabletop%20games</v>
      </c>
      <c r="AC116" t="str">
        <f>SUBSTITUTE(Table5[[#This Row],[source_url_category]], "%20", " ")</f>
        <v>tabletop games</v>
      </c>
      <c r="AD116" s="2" t="b">
        <v>0</v>
      </c>
      <c r="AE116" s="2" t="str">
        <f>LOWER(Table5[[#This Row],[staff_pick]])</f>
        <v>false</v>
      </c>
      <c r="AF116" t="s">
        <v>20</v>
      </c>
      <c r="AH116" s="19">
        <v>24176</v>
      </c>
      <c r="AI116" s="10"/>
    </row>
    <row r="117" spans="1:35" x14ac:dyDescent="0.2">
      <c r="A117" s="18">
        <v>1635215446</v>
      </c>
      <c r="B117" t="s">
        <v>148</v>
      </c>
      <c r="C117" t="str">
        <f>CONCATENATE(Table5[[#This Row],[id]], "-", PROPER(Table5[[#This Row],[name]]))</f>
        <v>1635215446-Endeavor: Age Of Expansion</v>
      </c>
      <c r="D117" s="1">
        <v>43691</v>
      </c>
      <c r="E117" s="1">
        <v>43692</v>
      </c>
      <c r="F117" s="1">
        <v>43707</v>
      </c>
      <c r="G117" s="18">
        <f t="shared" si="23"/>
        <v>15</v>
      </c>
      <c r="H117" s="18">
        <f t="shared" si="24"/>
        <v>4</v>
      </c>
      <c r="I117" s="18">
        <f t="shared" si="25"/>
        <v>8</v>
      </c>
      <c r="K117" s="29">
        <v>302</v>
      </c>
      <c r="L117" s="29">
        <f t="shared" si="28"/>
        <v>302</v>
      </c>
      <c r="M117" s="22">
        <f t="shared" si="27"/>
        <v>15</v>
      </c>
      <c r="N117" t="s">
        <v>15</v>
      </c>
      <c r="O117">
        <f>VLOOKUP(Table5[[#This Row],[currency]],Table3[],2)</f>
        <v>1</v>
      </c>
      <c r="P117" s="18">
        <v>14147</v>
      </c>
      <c r="Q117" s="32">
        <f>Table5[[#This Row],[pledged]]*Table5[[#This Row],[Exchange_rate]]</f>
        <v>14147</v>
      </c>
      <c r="R117" s="33">
        <f>ROUND(Table5[[#This Row],[Pledged_USD]],0)</f>
        <v>14147</v>
      </c>
      <c r="S117" s="35">
        <v>250</v>
      </c>
      <c r="T117" s="35">
        <f>VALUE(Table5[[#This Row],[goal_USD]])</f>
        <v>250</v>
      </c>
      <c r="U117" t="s">
        <v>378</v>
      </c>
      <c r="V117" t="s">
        <v>648</v>
      </c>
      <c r="W117" t="str">
        <f t="shared" si="29"/>
        <v>Richmond, VA</v>
      </c>
      <c r="X117" t="s">
        <v>527</v>
      </c>
      <c r="Y117" t="str">
        <f t="shared" si="30"/>
        <v>United States</v>
      </c>
      <c r="Z117" t="s">
        <v>38</v>
      </c>
      <c r="AA117">
        <f t="shared" si="31"/>
        <v>54</v>
      </c>
      <c r="AB117" t="str">
        <f t="shared" si="32"/>
        <v>tabletop%20games</v>
      </c>
      <c r="AC117" t="str">
        <f>SUBSTITUTE(Table5[[#This Row],[source_url_category]], "%20", " ")</f>
        <v>tabletop games</v>
      </c>
      <c r="AD117" s="2" t="b">
        <v>0</v>
      </c>
      <c r="AE117" s="2" t="str">
        <f>LOWER(Table5[[#This Row],[staff_pick]])</f>
        <v>false</v>
      </c>
      <c r="AF117" t="s">
        <v>16</v>
      </c>
      <c r="AH117" s="19">
        <v>24249</v>
      </c>
      <c r="AI117" s="10"/>
    </row>
    <row r="118" spans="1:35" x14ac:dyDescent="0.2">
      <c r="A118" s="18">
        <v>1681980700</v>
      </c>
      <c r="B118" t="s">
        <v>151</v>
      </c>
      <c r="C118" t="str">
        <f>CONCATENATE(Table5[[#This Row],[id]], "-", PROPER(Table5[[#This Row],[name]]))</f>
        <v>1681980700-The Which Way? Coding Board Game</v>
      </c>
      <c r="D118" s="1">
        <v>43692</v>
      </c>
      <c r="E118" s="1">
        <v>43706</v>
      </c>
      <c r="F118" s="1">
        <v>43739</v>
      </c>
      <c r="G118" s="18">
        <f t="shared" si="23"/>
        <v>33</v>
      </c>
      <c r="H118" s="18">
        <f t="shared" si="24"/>
        <v>4</v>
      </c>
      <c r="I118" s="18">
        <f t="shared" si="25"/>
        <v>8</v>
      </c>
      <c r="K118" s="28">
        <v>5</v>
      </c>
      <c r="L118" s="28">
        <f t="shared" si="28"/>
        <v>5</v>
      </c>
      <c r="M118" s="22">
        <f t="shared" si="27"/>
        <v>33</v>
      </c>
      <c r="N118" t="s">
        <v>15</v>
      </c>
      <c r="O118">
        <f>VLOOKUP(Table5[[#This Row],[currency]],Table3[],2)</f>
        <v>1</v>
      </c>
      <c r="P118" s="18">
        <v>14</v>
      </c>
      <c r="Q118" s="32">
        <f>Table5[[#This Row],[pledged]]*Table5[[#This Row],[Exchange_rate]]</f>
        <v>14</v>
      </c>
      <c r="R118" s="33">
        <f>ROUND(Table5[[#This Row],[Pledged_USD]],0)</f>
        <v>14</v>
      </c>
      <c r="S118" s="35">
        <v>250</v>
      </c>
      <c r="T118" s="35">
        <f>VALUE(Table5[[#This Row],[goal_USD]])</f>
        <v>250</v>
      </c>
      <c r="U118" t="s">
        <v>337</v>
      </c>
      <c r="V118" t="s">
        <v>665</v>
      </c>
      <c r="W118" t="str">
        <f t="shared" si="29"/>
        <v>Miami, FL</v>
      </c>
      <c r="X118" t="s">
        <v>527</v>
      </c>
      <c r="Y118" t="str">
        <f t="shared" si="30"/>
        <v>United States</v>
      </c>
      <c r="Z118" t="s">
        <v>106</v>
      </c>
      <c r="AA118">
        <f t="shared" si="31"/>
        <v>54</v>
      </c>
      <c r="AB118" t="str">
        <f t="shared" si="32"/>
        <v>mobile%20games</v>
      </c>
      <c r="AC118" t="str">
        <f>SUBSTITUTE(Table5[[#This Row],[source_url_category]], "%20", " ")</f>
        <v>mobile games</v>
      </c>
      <c r="AD118" s="2" t="b">
        <v>0</v>
      </c>
      <c r="AE118" s="2" t="str">
        <f>LOWER(Table5[[#This Row],[staff_pick]])</f>
        <v>false</v>
      </c>
      <c r="AF118" t="s">
        <v>17</v>
      </c>
      <c r="AH118" s="19">
        <v>24266.32</v>
      </c>
      <c r="AI118" s="10"/>
    </row>
    <row r="119" spans="1:35" x14ac:dyDescent="0.2">
      <c r="A119" s="18">
        <v>1683781890</v>
      </c>
      <c r="B119" t="s">
        <v>137</v>
      </c>
      <c r="C119" t="str">
        <f>CONCATENATE(Table5[[#This Row],[id]], "-", PROPER(Table5[[#This Row],[name]]))</f>
        <v>1683781890-Bridgehouse Playing Cards</v>
      </c>
      <c r="D119" s="1">
        <v>43692</v>
      </c>
      <c r="E119" s="1">
        <v>43699</v>
      </c>
      <c r="F119" s="1">
        <v>43714</v>
      </c>
      <c r="G119" s="18">
        <f t="shared" si="23"/>
        <v>15</v>
      </c>
      <c r="H119" s="18">
        <f t="shared" si="24"/>
        <v>4</v>
      </c>
      <c r="I119" s="18">
        <f t="shared" si="25"/>
        <v>8</v>
      </c>
      <c r="K119" s="29">
        <v>118</v>
      </c>
      <c r="L119" s="29">
        <f t="shared" si="28"/>
        <v>118</v>
      </c>
      <c r="M119" s="22">
        <f t="shared" si="27"/>
        <v>15</v>
      </c>
      <c r="N119" t="s">
        <v>34</v>
      </c>
      <c r="O119">
        <f>VLOOKUP(Table5[[#This Row],[currency]],Table3[],2)</f>
        <v>0.12847297999999999</v>
      </c>
      <c r="P119" s="18">
        <v>32134</v>
      </c>
      <c r="Q119" s="32">
        <f>Table5[[#This Row],[pledged]]*Table5[[#This Row],[Exchange_rate]]</f>
        <v>4128.3507393199998</v>
      </c>
      <c r="R119" s="33">
        <f>ROUND(Table5[[#This Row],[Pledged_USD]],0)</f>
        <v>4128</v>
      </c>
      <c r="S119" s="35">
        <v>30000</v>
      </c>
      <c r="T119" s="35">
        <f>VALUE(Table5[[#This Row],[goal_USD]])</f>
        <v>30000</v>
      </c>
      <c r="U119" t="s">
        <v>408</v>
      </c>
      <c r="V119" t="s">
        <v>672</v>
      </c>
      <c r="W119" t="str">
        <f t="shared" si="29"/>
        <v>Hong Kong, Hong Kong Island</v>
      </c>
      <c r="X119" t="s">
        <v>535</v>
      </c>
      <c r="Y119" t="str">
        <f t="shared" si="30"/>
        <v>Hong Kong</v>
      </c>
      <c r="Z119" t="s">
        <v>107</v>
      </c>
      <c r="AA119">
        <f t="shared" si="31"/>
        <v>54</v>
      </c>
      <c r="AB119" t="str">
        <f t="shared" si="32"/>
        <v>playing%20cards</v>
      </c>
      <c r="AC119" t="str">
        <f>SUBSTITUTE(Table5[[#This Row],[source_url_category]], "%20", " ")</f>
        <v>playing cards</v>
      </c>
      <c r="AD119" s="2" t="b">
        <v>0</v>
      </c>
      <c r="AE119" s="2" t="str">
        <f>LOWER(Table5[[#This Row],[staff_pick]])</f>
        <v>false</v>
      </c>
      <c r="AF119" t="s">
        <v>16</v>
      </c>
      <c r="AH119" s="19">
        <v>24500</v>
      </c>
      <c r="AI119" s="10"/>
    </row>
    <row r="120" spans="1:35" x14ac:dyDescent="0.2">
      <c r="A120" s="18">
        <v>1699038054</v>
      </c>
      <c r="B120" t="s">
        <v>699</v>
      </c>
      <c r="C120" t="str">
        <f>CONCATENATE(Table5[[#This Row],[id]], "-", PROPER(Table5[[#This Row],[name]]))</f>
        <v>1699038054-Maximum Mayhem Dungeons #7: Dread Swamp Of The Banshee</v>
      </c>
      <c r="D120" s="1">
        <v>43697</v>
      </c>
      <c r="E120" s="1">
        <v>43767</v>
      </c>
      <c r="F120" s="1">
        <v>43798</v>
      </c>
      <c r="G120" s="18">
        <f t="shared" si="23"/>
        <v>31</v>
      </c>
      <c r="H120" s="18">
        <f t="shared" si="24"/>
        <v>2</v>
      </c>
      <c r="I120" s="18">
        <f t="shared" si="25"/>
        <v>10</v>
      </c>
      <c r="K120" s="28">
        <v>57</v>
      </c>
      <c r="L120" s="28">
        <f t="shared" si="28"/>
        <v>57</v>
      </c>
      <c r="M120" s="22">
        <f t="shared" si="27"/>
        <v>31</v>
      </c>
      <c r="N120" t="s">
        <v>18</v>
      </c>
      <c r="O120">
        <f>VLOOKUP(Table5[[#This Row],[currency]],Table3[],2)</f>
        <v>1.16955371</v>
      </c>
      <c r="P120" s="18">
        <v>1597</v>
      </c>
      <c r="Q120" s="32">
        <f>Table5[[#This Row],[pledged]]*Table5[[#This Row],[Exchange_rate]]</f>
        <v>1867.7772748699999</v>
      </c>
      <c r="R120" s="33">
        <f>ROUND(Table5[[#This Row],[Pledged_USD]],0)</f>
        <v>1868</v>
      </c>
      <c r="S120" s="35">
        <v>6400</v>
      </c>
      <c r="T120" s="35">
        <f>VALUE(Table5[[#This Row],[goal_USD]])</f>
        <v>6400</v>
      </c>
      <c r="U120" t="s">
        <v>465</v>
      </c>
      <c r="V120" t="s">
        <v>689</v>
      </c>
      <c r="W120" t="str">
        <f t="shared" si="29"/>
        <v>Manniku, Laane-Viru County</v>
      </c>
      <c r="X120" t="s">
        <v>537</v>
      </c>
      <c r="Y120" t="str">
        <f t="shared" si="30"/>
        <v>Estonia</v>
      </c>
      <c r="Z120" t="s">
        <v>107</v>
      </c>
      <c r="AA120">
        <f t="shared" si="31"/>
        <v>54</v>
      </c>
      <c r="AB120" t="str">
        <f t="shared" si="32"/>
        <v>playing%20cards</v>
      </c>
      <c r="AC120" t="str">
        <f>SUBSTITUTE(Table5[[#This Row],[source_url_category]], "%20", " ")</f>
        <v>playing cards</v>
      </c>
      <c r="AD120" s="2" t="b">
        <v>0</v>
      </c>
      <c r="AE120" s="2" t="str">
        <f>LOWER(Table5[[#This Row],[staff_pick]])</f>
        <v>false</v>
      </c>
      <c r="AF120" t="s">
        <v>20</v>
      </c>
      <c r="AH120" s="19">
        <v>27666</v>
      </c>
      <c r="AI120" s="10"/>
    </row>
    <row r="121" spans="1:35" x14ac:dyDescent="0.2">
      <c r="A121" s="18">
        <v>1702433350</v>
      </c>
      <c r="B121" t="s">
        <v>111</v>
      </c>
      <c r="C121" t="str">
        <f>CONCATENATE(Table5[[#This Row],[id]], "-", PROPER(Table5[[#This Row],[name]]))</f>
        <v>1702433350-Axis Playing Cards</v>
      </c>
      <c r="D121" s="1">
        <v>43697</v>
      </c>
      <c r="E121" s="1">
        <v>43746</v>
      </c>
      <c r="F121" s="1">
        <v>43777</v>
      </c>
      <c r="G121" s="18">
        <f t="shared" si="23"/>
        <v>31</v>
      </c>
      <c r="H121" s="18">
        <f t="shared" si="24"/>
        <v>2</v>
      </c>
      <c r="I121" s="18">
        <f t="shared" si="25"/>
        <v>10</v>
      </c>
      <c r="K121" s="29">
        <v>419</v>
      </c>
      <c r="L121" s="29">
        <f t="shared" si="28"/>
        <v>419</v>
      </c>
      <c r="M121" s="22">
        <f t="shared" si="27"/>
        <v>31</v>
      </c>
      <c r="N121" t="s">
        <v>27</v>
      </c>
      <c r="O121">
        <f>VLOOKUP(Table5[[#This Row],[currency]],Table3[],2)</f>
        <v>0.90338969999999996</v>
      </c>
      <c r="P121" s="18">
        <v>24266.32</v>
      </c>
      <c r="Q121" s="32">
        <f>Table5[[#This Row],[pledged]]*Table5[[#This Row],[Exchange_rate]]</f>
        <v>21921.943544903999</v>
      </c>
      <c r="R121" s="33">
        <f>ROUND(Table5[[#This Row],[Pledged_USD]],0)</f>
        <v>21922</v>
      </c>
      <c r="S121" s="35">
        <v>10000</v>
      </c>
      <c r="T121" s="35">
        <f>VALUE(Table5[[#This Row],[goal_USD]])</f>
        <v>10000</v>
      </c>
      <c r="U121" t="s">
        <v>356</v>
      </c>
      <c r="V121" t="s">
        <v>690</v>
      </c>
      <c r="W121" t="str">
        <f t="shared" si="29"/>
        <v>Sydney, NSW</v>
      </c>
      <c r="X121" t="s">
        <v>529</v>
      </c>
      <c r="Y121" t="str">
        <f t="shared" si="30"/>
        <v>Australia</v>
      </c>
      <c r="Z121" t="s">
        <v>38</v>
      </c>
      <c r="AA121">
        <f t="shared" si="31"/>
        <v>54</v>
      </c>
      <c r="AB121" t="str">
        <f t="shared" si="32"/>
        <v>tabletop%20games</v>
      </c>
      <c r="AC121" t="str">
        <f>SUBSTITUTE(Table5[[#This Row],[source_url_category]], "%20", " ")</f>
        <v>tabletop games</v>
      </c>
      <c r="AD121" s="2" t="b">
        <v>0</v>
      </c>
      <c r="AE121" s="2" t="str">
        <f>LOWER(Table5[[#This Row],[staff_pick]])</f>
        <v>false</v>
      </c>
      <c r="AF121" t="s">
        <v>16</v>
      </c>
      <c r="AH121" s="19">
        <v>30858</v>
      </c>
      <c r="AI121" s="10"/>
    </row>
    <row r="122" spans="1:35" x14ac:dyDescent="0.2">
      <c r="A122" s="18">
        <v>1713322204</v>
      </c>
      <c r="B122" t="s">
        <v>238</v>
      </c>
      <c r="C122" t="str">
        <f>CONCATENATE(Table5[[#This Row],[id]], "-", PROPER(Table5[[#This Row],[name]]))</f>
        <v>1713322204-Terraforming Mars: Turmoil</v>
      </c>
      <c r="D122" s="1">
        <v>43698</v>
      </c>
      <c r="E122" s="1">
        <v>43700</v>
      </c>
      <c r="F122" s="1">
        <v>43758</v>
      </c>
      <c r="G122" s="18">
        <f t="shared" si="23"/>
        <v>58</v>
      </c>
      <c r="H122" s="18">
        <f t="shared" si="24"/>
        <v>5</v>
      </c>
      <c r="I122" s="18">
        <f t="shared" si="25"/>
        <v>8</v>
      </c>
      <c r="K122" s="28">
        <v>1</v>
      </c>
      <c r="L122" s="28">
        <f t="shared" si="28"/>
        <v>1</v>
      </c>
      <c r="M122" s="22">
        <f t="shared" si="27"/>
        <v>58</v>
      </c>
      <c r="N122" t="s">
        <v>22</v>
      </c>
      <c r="O122">
        <f>VLOOKUP(Table5[[#This Row],[currency]],Table3[],2)</f>
        <v>0.76932900999999998</v>
      </c>
      <c r="P122" s="18">
        <v>1.29</v>
      </c>
      <c r="Q122" s="32">
        <f>Table5[[#This Row],[pledged]]*Table5[[#This Row],[Exchange_rate]]</f>
        <v>0.99243442289999995</v>
      </c>
      <c r="R122" s="33">
        <f>ROUND(Table5[[#This Row],[Pledged_USD]],0)</f>
        <v>1</v>
      </c>
      <c r="S122" s="35">
        <v>4000</v>
      </c>
      <c r="T122" s="35">
        <f>VALUE(Table5[[#This Row],[goal_USD]])</f>
        <v>4000</v>
      </c>
      <c r="U122" t="s">
        <v>350</v>
      </c>
      <c r="V122" t="s">
        <v>679</v>
      </c>
      <c r="W122" t="str">
        <f t="shared" si="29"/>
        <v>Toronto, ON</v>
      </c>
      <c r="X122" t="s">
        <v>532</v>
      </c>
      <c r="Y122" t="str">
        <f t="shared" si="30"/>
        <v>Canada</v>
      </c>
      <c r="Z122" t="s">
        <v>106</v>
      </c>
      <c r="AA122">
        <f t="shared" si="31"/>
        <v>54</v>
      </c>
      <c r="AB122" t="str">
        <f t="shared" si="32"/>
        <v>mobile%20games</v>
      </c>
      <c r="AC122" t="str">
        <f>SUBSTITUTE(Table5[[#This Row],[source_url_category]], "%20", " ")</f>
        <v>mobile games</v>
      </c>
      <c r="AD122" s="2" t="b">
        <v>0</v>
      </c>
      <c r="AE122" s="2" t="str">
        <f>LOWER(Table5[[#This Row],[staff_pick]])</f>
        <v>false</v>
      </c>
      <c r="AF122" t="s">
        <v>17</v>
      </c>
      <c r="AH122" s="19">
        <v>32134</v>
      </c>
      <c r="AI122" s="10"/>
    </row>
    <row r="123" spans="1:35" x14ac:dyDescent="0.2">
      <c r="A123" s="18">
        <v>1713457614</v>
      </c>
      <c r="B123" t="s">
        <v>700</v>
      </c>
      <c r="C123" t="str">
        <f>CONCATENATE(Table5[[#This Row],[id]], "-", PROPER(Table5[[#This Row],[name]]))</f>
        <v>1713457614-Dungeon Crawl Classics: Soul For The Ocean Dark</v>
      </c>
      <c r="D123" s="1">
        <v>43698</v>
      </c>
      <c r="E123" s="1">
        <v>43738</v>
      </c>
      <c r="F123" s="1">
        <v>43750</v>
      </c>
      <c r="G123" s="18">
        <f t="shared" si="23"/>
        <v>12</v>
      </c>
      <c r="H123" s="18">
        <f t="shared" si="24"/>
        <v>1</v>
      </c>
      <c r="I123" s="18">
        <f t="shared" si="25"/>
        <v>9</v>
      </c>
      <c r="K123" s="29">
        <v>81</v>
      </c>
      <c r="L123" s="29">
        <f t="shared" si="28"/>
        <v>81</v>
      </c>
      <c r="M123" s="22">
        <f t="shared" si="27"/>
        <v>12</v>
      </c>
      <c r="N123" t="s">
        <v>18</v>
      </c>
      <c r="O123">
        <f>VLOOKUP(Table5[[#This Row],[currency]],Table3[],2)</f>
        <v>1.16955371</v>
      </c>
      <c r="P123" s="18">
        <v>5407</v>
      </c>
      <c r="Q123" s="32">
        <f>Table5[[#This Row],[pledged]]*Table5[[#This Row],[Exchange_rate]]</f>
        <v>6323.7769099699999</v>
      </c>
      <c r="R123" s="33">
        <f>ROUND(Table5[[#This Row],[Pledged_USD]],0)</f>
        <v>6324</v>
      </c>
      <c r="S123" s="35">
        <v>40</v>
      </c>
      <c r="T123" s="35">
        <f>VALUE(Table5[[#This Row],[goal_USD]])</f>
        <v>40</v>
      </c>
      <c r="U123" t="s">
        <v>505</v>
      </c>
      <c r="V123" t="s">
        <v>656</v>
      </c>
      <c r="W123" t="str">
        <f t="shared" si="29"/>
        <v>Montesson, Ile-de-France</v>
      </c>
      <c r="X123" t="s">
        <v>530</v>
      </c>
      <c r="Y123" t="str">
        <f t="shared" si="30"/>
        <v>France</v>
      </c>
      <c r="Z123" t="s">
        <v>38</v>
      </c>
      <c r="AA123">
        <f t="shared" si="31"/>
        <v>54</v>
      </c>
      <c r="AB123" t="str">
        <f t="shared" si="32"/>
        <v>tabletop%20games</v>
      </c>
      <c r="AC123" t="str">
        <f>SUBSTITUTE(Table5[[#This Row],[source_url_category]], "%20", " ")</f>
        <v>tabletop games</v>
      </c>
      <c r="AD123" s="2" t="b">
        <v>0</v>
      </c>
      <c r="AE123" s="2" t="str">
        <f>LOWER(Table5[[#This Row],[staff_pick]])</f>
        <v>false</v>
      </c>
      <c r="AF123" t="s">
        <v>16</v>
      </c>
      <c r="AH123" s="19">
        <v>34332.5</v>
      </c>
      <c r="AI123" s="10"/>
    </row>
    <row r="124" spans="1:35" x14ac:dyDescent="0.2">
      <c r="A124" s="18">
        <v>1719736684</v>
      </c>
      <c r="B124" t="s">
        <v>108</v>
      </c>
      <c r="C124" t="str">
        <f>CONCATENATE(Table5[[#This Row],[id]], "-", PROPER(Table5[[#This Row],[name]]))</f>
        <v>1719736684-Vampire Cards: Specialized Playing Cards!</v>
      </c>
      <c r="D124" s="1">
        <v>43700</v>
      </c>
      <c r="E124" s="1">
        <v>43703</v>
      </c>
      <c r="F124" s="1">
        <v>43733</v>
      </c>
      <c r="G124" s="18">
        <f t="shared" si="23"/>
        <v>30</v>
      </c>
      <c r="H124" s="18">
        <f t="shared" si="24"/>
        <v>1</v>
      </c>
      <c r="I124" s="18">
        <f t="shared" si="25"/>
        <v>8</v>
      </c>
      <c r="K124" s="28">
        <v>7</v>
      </c>
      <c r="L124" s="28">
        <f t="shared" si="28"/>
        <v>7</v>
      </c>
      <c r="M124" s="22">
        <f t="shared" si="27"/>
        <v>30</v>
      </c>
      <c r="N124" t="s">
        <v>19</v>
      </c>
      <c r="O124">
        <f>VLOOKUP(Table5[[#This Row],[currency]],Table3[],2)</f>
        <v>1.49576325</v>
      </c>
      <c r="P124" s="18">
        <v>82</v>
      </c>
      <c r="Q124" s="32">
        <f>Table5[[#This Row],[pledged]]*Table5[[#This Row],[Exchange_rate]]</f>
        <v>122.6525865</v>
      </c>
      <c r="R124" s="33">
        <f>ROUND(Table5[[#This Row],[Pledged_USD]],0)</f>
        <v>123</v>
      </c>
      <c r="S124" s="35">
        <v>2500</v>
      </c>
      <c r="T124" s="35">
        <f>VALUE(Table5[[#This Row],[goal_USD]])</f>
        <v>2500</v>
      </c>
      <c r="U124" t="s">
        <v>381</v>
      </c>
      <c r="V124" t="s">
        <v>681</v>
      </c>
      <c r="W124" t="str">
        <f t="shared" si="29"/>
        <v>Edinburgh, Scotland</v>
      </c>
      <c r="X124" t="s">
        <v>526</v>
      </c>
      <c r="Y124" t="str">
        <f t="shared" si="30"/>
        <v>United Kingdom</v>
      </c>
      <c r="Z124" t="s">
        <v>107</v>
      </c>
      <c r="AA124">
        <f t="shared" si="31"/>
        <v>54</v>
      </c>
      <c r="AB124" t="str">
        <f t="shared" si="32"/>
        <v>playing%20cards</v>
      </c>
      <c r="AC124" t="str">
        <f>SUBSTITUTE(Table5[[#This Row],[source_url_category]], "%20", " ")</f>
        <v>playing cards</v>
      </c>
      <c r="AD124" s="2" t="b">
        <v>0</v>
      </c>
      <c r="AE124" s="2" t="str">
        <f>LOWER(Table5[[#This Row],[staff_pick]])</f>
        <v>false</v>
      </c>
      <c r="AF124" t="s">
        <v>17</v>
      </c>
      <c r="AH124" s="19">
        <v>36602</v>
      </c>
      <c r="AI124" s="10"/>
    </row>
    <row r="125" spans="1:35" x14ac:dyDescent="0.2">
      <c r="A125" s="18">
        <v>1738093236</v>
      </c>
      <c r="B125" t="s">
        <v>135</v>
      </c>
      <c r="C125" t="str">
        <f>CONCATENATE(Table5[[#This Row],[id]], "-", PROPER(Table5[[#This Row],[name]]))</f>
        <v>1738093236-6Th Sense Connection Oracle Cards</v>
      </c>
      <c r="D125" s="1">
        <v>43701</v>
      </c>
      <c r="E125" s="1">
        <v>43741</v>
      </c>
      <c r="F125" s="1">
        <v>43771</v>
      </c>
      <c r="G125" s="18">
        <f t="shared" si="23"/>
        <v>30</v>
      </c>
      <c r="H125" s="18">
        <f t="shared" si="24"/>
        <v>4</v>
      </c>
      <c r="I125" s="18">
        <f t="shared" si="25"/>
        <v>10</v>
      </c>
      <c r="K125" s="29">
        <v>30</v>
      </c>
      <c r="L125" s="29">
        <f t="shared" si="28"/>
        <v>30</v>
      </c>
      <c r="M125" s="22">
        <f t="shared" si="27"/>
        <v>30</v>
      </c>
      <c r="N125" t="s">
        <v>15</v>
      </c>
      <c r="O125">
        <f>VLOOKUP(Table5[[#This Row],[currency]],Table3[],2)</f>
        <v>1</v>
      </c>
      <c r="P125" s="18">
        <v>5214</v>
      </c>
      <c r="Q125" s="32">
        <f>Table5[[#This Row],[pledged]]*Table5[[#This Row],[Exchange_rate]]</f>
        <v>5214</v>
      </c>
      <c r="R125" s="33">
        <f>ROUND(Table5[[#This Row],[Pledged_USD]],0)</f>
        <v>5214</v>
      </c>
      <c r="S125" s="35">
        <v>5000</v>
      </c>
      <c r="T125" s="35">
        <f>VALUE(Table5[[#This Row],[goal_USD]])</f>
        <v>5000</v>
      </c>
      <c r="U125" t="s">
        <v>428</v>
      </c>
      <c r="V125" t="s">
        <v>668</v>
      </c>
      <c r="W125" t="str">
        <f t="shared" si="29"/>
        <v>Fort Worth, TX</v>
      </c>
      <c r="X125" t="s">
        <v>527</v>
      </c>
      <c r="Y125" t="str">
        <f t="shared" si="30"/>
        <v>United States</v>
      </c>
      <c r="Z125" t="s">
        <v>38</v>
      </c>
      <c r="AA125">
        <f t="shared" si="31"/>
        <v>54</v>
      </c>
      <c r="AB125" t="str">
        <f t="shared" si="32"/>
        <v>tabletop%20games</v>
      </c>
      <c r="AC125" t="str">
        <f>SUBSTITUTE(Table5[[#This Row],[source_url_category]], "%20", " ")</f>
        <v>tabletop games</v>
      </c>
      <c r="AD125" s="2" t="b">
        <v>0</v>
      </c>
      <c r="AE125" s="2" t="str">
        <f>LOWER(Table5[[#This Row],[staff_pick]])</f>
        <v>false</v>
      </c>
      <c r="AF125" t="s">
        <v>16</v>
      </c>
      <c r="AH125" s="19">
        <v>37048</v>
      </c>
      <c r="AI125" s="10"/>
    </row>
    <row r="126" spans="1:35" x14ac:dyDescent="0.2">
      <c r="A126" s="18">
        <v>1748213057</v>
      </c>
      <c r="B126" t="s">
        <v>185</v>
      </c>
      <c r="C126" t="str">
        <f>CONCATENATE(Table5[[#This Row],[id]], "-", PROPER(Table5[[#This Row],[name]]))</f>
        <v>1748213057-Bolabots (Steam Game)</v>
      </c>
      <c r="D126" s="1">
        <v>43703</v>
      </c>
      <c r="E126" s="1">
        <v>43715</v>
      </c>
      <c r="F126" s="1">
        <v>43745</v>
      </c>
      <c r="G126" s="18">
        <f t="shared" si="23"/>
        <v>30</v>
      </c>
      <c r="H126" s="18">
        <f t="shared" si="24"/>
        <v>6</v>
      </c>
      <c r="I126" s="18">
        <f t="shared" si="25"/>
        <v>9</v>
      </c>
      <c r="K126" s="28">
        <v>153</v>
      </c>
      <c r="L126" s="28">
        <f t="shared" si="28"/>
        <v>153</v>
      </c>
      <c r="M126" s="22">
        <f t="shared" si="27"/>
        <v>30</v>
      </c>
      <c r="N126" t="s">
        <v>15</v>
      </c>
      <c r="O126">
        <f>VLOOKUP(Table5[[#This Row],[currency]],Table3[],2)</f>
        <v>1</v>
      </c>
      <c r="P126" s="18">
        <v>3070</v>
      </c>
      <c r="Q126" s="32">
        <f>Table5[[#This Row],[pledged]]*Table5[[#This Row],[Exchange_rate]]</f>
        <v>3070</v>
      </c>
      <c r="R126" s="33">
        <f>ROUND(Table5[[#This Row],[Pledged_USD]],0)</f>
        <v>3070</v>
      </c>
      <c r="S126" s="35">
        <v>600</v>
      </c>
      <c r="T126" s="35">
        <f>VALUE(Table5[[#This Row],[goal_USD]])</f>
        <v>600</v>
      </c>
      <c r="U126" t="s">
        <v>347</v>
      </c>
      <c r="V126" t="s">
        <v>687</v>
      </c>
      <c r="W126" t="str">
        <f t="shared" si="29"/>
        <v>Boston, MA</v>
      </c>
      <c r="X126" t="s">
        <v>527</v>
      </c>
      <c r="Y126" t="str">
        <f t="shared" si="30"/>
        <v>United States</v>
      </c>
      <c r="Z126" t="s">
        <v>38</v>
      </c>
      <c r="AA126">
        <f t="shared" si="31"/>
        <v>54</v>
      </c>
      <c r="AB126" t="str">
        <f t="shared" si="32"/>
        <v>tabletop%20games</v>
      </c>
      <c r="AC126" t="str">
        <f>SUBSTITUTE(Table5[[#This Row],[source_url_category]], "%20", " ")</f>
        <v>tabletop games</v>
      </c>
      <c r="AD126" s="2" t="b">
        <v>0</v>
      </c>
      <c r="AE126" s="2" t="str">
        <f>LOWER(Table5[[#This Row],[staff_pick]])</f>
        <v>false</v>
      </c>
      <c r="AF126" t="s">
        <v>16</v>
      </c>
      <c r="AH126" s="19">
        <v>40642</v>
      </c>
      <c r="AI126" s="10"/>
    </row>
    <row r="127" spans="1:35" x14ac:dyDescent="0.2">
      <c r="A127" s="18">
        <v>1788831436</v>
      </c>
      <c r="B127" t="s">
        <v>146</v>
      </c>
      <c r="C127" t="str">
        <f>CONCATENATE(Table5[[#This Row],[id]], "-", PROPER(Table5[[#This Row],[name]]))</f>
        <v>1788831436-Metal Gods Of Ur-Hadad Zine Returns!</v>
      </c>
      <c r="D127" s="1">
        <v>43704</v>
      </c>
      <c r="E127" s="1">
        <v>43732</v>
      </c>
      <c r="F127" s="1">
        <v>43760</v>
      </c>
      <c r="G127" s="18">
        <f t="shared" si="23"/>
        <v>28</v>
      </c>
      <c r="H127" s="18">
        <f t="shared" si="24"/>
        <v>2</v>
      </c>
      <c r="I127" s="18">
        <f t="shared" si="25"/>
        <v>9</v>
      </c>
      <c r="K127" s="29">
        <v>1334</v>
      </c>
      <c r="L127" s="29">
        <f t="shared" si="28"/>
        <v>1334</v>
      </c>
      <c r="M127" s="22">
        <f t="shared" si="27"/>
        <v>28</v>
      </c>
      <c r="N127" t="s">
        <v>15</v>
      </c>
      <c r="O127">
        <f>VLOOKUP(Table5[[#This Row],[currency]],Table3[],2)</f>
        <v>1</v>
      </c>
      <c r="P127" s="18">
        <v>54200</v>
      </c>
      <c r="Q127" s="32">
        <f>Table5[[#This Row],[pledged]]*Table5[[#This Row],[Exchange_rate]]</f>
        <v>54200</v>
      </c>
      <c r="R127" s="33">
        <f>ROUND(Table5[[#This Row],[Pledged_USD]],0)</f>
        <v>54200</v>
      </c>
      <c r="S127" s="35">
        <v>12000</v>
      </c>
      <c r="T127" s="35">
        <f>VALUE(Table5[[#This Row],[goal_USD]])</f>
        <v>12000</v>
      </c>
      <c r="U127" t="s">
        <v>508</v>
      </c>
      <c r="V127" t="s">
        <v>662</v>
      </c>
      <c r="W127" t="str">
        <f t="shared" si="29"/>
        <v>Saginaw, MI</v>
      </c>
      <c r="X127" t="s">
        <v>527</v>
      </c>
      <c r="Y127" t="str">
        <f t="shared" si="30"/>
        <v>United States</v>
      </c>
      <c r="Z127" t="s">
        <v>38</v>
      </c>
      <c r="AA127">
        <f t="shared" si="31"/>
        <v>54</v>
      </c>
      <c r="AB127" t="str">
        <f t="shared" si="32"/>
        <v>tabletop%20games</v>
      </c>
      <c r="AC127" t="str">
        <f>SUBSTITUTE(Table5[[#This Row],[source_url_category]], "%20", " ")</f>
        <v>tabletop games</v>
      </c>
      <c r="AD127" s="2" t="b">
        <v>0</v>
      </c>
      <c r="AE127" s="2" t="str">
        <f>LOWER(Table5[[#This Row],[staff_pick]])</f>
        <v>false</v>
      </c>
      <c r="AF127" t="s">
        <v>16</v>
      </c>
      <c r="AH127" s="19">
        <v>44556</v>
      </c>
      <c r="AI127" s="10"/>
    </row>
    <row r="128" spans="1:35" x14ac:dyDescent="0.2">
      <c r="A128" s="18">
        <v>1793298287</v>
      </c>
      <c r="B128" t="s">
        <v>283</v>
      </c>
      <c r="C128" t="str">
        <f>CONCATENATE(Table5[[#This Row],[id]], "-", PROPER(Table5[[#This Row],[name]]))</f>
        <v>1793298287-Flight Club: Performance Artwork And Live Street Game</v>
      </c>
      <c r="D128" s="1">
        <v>43707</v>
      </c>
      <c r="E128" s="1">
        <v>43739</v>
      </c>
      <c r="F128" s="1">
        <v>43769</v>
      </c>
      <c r="G128" s="18">
        <f t="shared" si="23"/>
        <v>30</v>
      </c>
      <c r="H128" s="18">
        <f t="shared" si="24"/>
        <v>2</v>
      </c>
      <c r="I128" s="18">
        <f t="shared" si="25"/>
        <v>10</v>
      </c>
      <c r="K128" s="28">
        <v>2942</v>
      </c>
      <c r="L128" s="28">
        <f t="shared" si="28"/>
        <v>2942</v>
      </c>
      <c r="M128" s="22">
        <f t="shared" si="27"/>
        <v>30</v>
      </c>
      <c r="N128" t="s">
        <v>18</v>
      </c>
      <c r="O128">
        <f>VLOOKUP(Table5[[#This Row],[currency]],Table3[],2)</f>
        <v>1.16955371</v>
      </c>
      <c r="P128" s="18">
        <v>139131</v>
      </c>
      <c r="Q128" s="32">
        <f>Table5[[#This Row],[pledged]]*Table5[[#This Row],[Exchange_rate]]</f>
        <v>162721.17722600998</v>
      </c>
      <c r="R128" s="33">
        <f>ROUND(Table5[[#This Row],[Pledged_USD]],0)</f>
        <v>162721</v>
      </c>
      <c r="S128" s="35">
        <v>5000</v>
      </c>
      <c r="T128" s="35">
        <f>VALUE(Table5[[#This Row],[goal_USD]])</f>
        <v>5000</v>
      </c>
      <c r="U128" t="s">
        <v>472</v>
      </c>
      <c r="V128" t="s">
        <v>691</v>
      </c>
      <c r="W128" t="str">
        <f t="shared" si="29"/>
        <v>Santa Cruz de Tenerife, Canary Islands</v>
      </c>
      <c r="X128" t="s">
        <v>534</v>
      </c>
      <c r="Y128" t="str">
        <f t="shared" si="30"/>
        <v>Spain</v>
      </c>
      <c r="Z128" t="s">
        <v>38</v>
      </c>
      <c r="AA128">
        <f t="shared" si="31"/>
        <v>54</v>
      </c>
      <c r="AB128" t="str">
        <f t="shared" si="32"/>
        <v>tabletop%20games</v>
      </c>
      <c r="AC128" t="str">
        <f>SUBSTITUTE(Table5[[#This Row],[source_url_category]], "%20", " ")</f>
        <v>tabletop games</v>
      </c>
      <c r="AD128" s="2" t="b">
        <v>0</v>
      </c>
      <c r="AE128" s="2" t="str">
        <f>LOWER(Table5[[#This Row],[staff_pick]])</f>
        <v>false</v>
      </c>
      <c r="AF128" t="s">
        <v>16</v>
      </c>
      <c r="AH128" s="19">
        <v>45701.01</v>
      </c>
      <c r="AI128" s="10"/>
    </row>
    <row r="129" spans="1:35" x14ac:dyDescent="0.2">
      <c r="A129" s="18">
        <v>1801538018</v>
      </c>
      <c r="B129" t="s">
        <v>241</v>
      </c>
      <c r="C129" t="str">
        <f>CONCATENATE(Table5[[#This Row],[id]], "-", PROPER(Table5[[#This Row],[name]]))</f>
        <v>1801538018-Night Life Tabletop Game</v>
      </c>
      <c r="D129" s="1">
        <v>43709</v>
      </c>
      <c r="E129" s="1">
        <v>43714</v>
      </c>
      <c r="F129" s="1">
        <v>43739</v>
      </c>
      <c r="G129" s="18">
        <f t="shared" si="23"/>
        <v>25</v>
      </c>
      <c r="H129" s="18">
        <f t="shared" si="24"/>
        <v>5</v>
      </c>
      <c r="I129" s="18">
        <f t="shared" si="25"/>
        <v>9</v>
      </c>
      <c r="K129" s="29">
        <v>50</v>
      </c>
      <c r="L129" s="29">
        <f t="shared" si="28"/>
        <v>50</v>
      </c>
      <c r="M129" s="22">
        <f t="shared" si="27"/>
        <v>25</v>
      </c>
      <c r="N129" t="s">
        <v>27</v>
      </c>
      <c r="O129">
        <f>VLOOKUP(Table5[[#This Row],[currency]],Table3[],2)</f>
        <v>0.90338969999999996</v>
      </c>
      <c r="P129" s="18">
        <v>3659.32</v>
      </c>
      <c r="Q129" s="32">
        <f>Table5[[#This Row],[pledged]]*Table5[[#This Row],[Exchange_rate]]</f>
        <v>3305.7919970040002</v>
      </c>
      <c r="R129" s="33">
        <f>ROUND(Table5[[#This Row],[Pledged_USD]],0)</f>
        <v>3306</v>
      </c>
      <c r="S129" s="35">
        <v>3000</v>
      </c>
      <c r="T129" s="35">
        <f>VALUE(Table5[[#This Row],[goal_USD]])</f>
        <v>3000</v>
      </c>
      <c r="U129" t="s">
        <v>432</v>
      </c>
      <c r="V129" t="s">
        <v>692</v>
      </c>
      <c r="W129" t="str">
        <f t="shared" si="29"/>
        <v>Launceston, TAS</v>
      </c>
      <c r="X129" t="s">
        <v>529</v>
      </c>
      <c r="Y129" t="str">
        <f t="shared" si="30"/>
        <v>Australia</v>
      </c>
      <c r="Z129" t="s">
        <v>38</v>
      </c>
      <c r="AA129">
        <f t="shared" si="31"/>
        <v>54</v>
      </c>
      <c r="AB129" t="str">
        <f t="shared" si="32"/>
        <v>tabletop%20games</v>
      </c>
      <c r="AC129" t="str">
        <f>SUBSTITUTE(Table5[[#This Row],[source_url_category]], "%20", " ")</f>
        <v>tabletop games</v>
      </c>
      <c r="AD129" s="2" t="b">
        <v>0</v>
      </c>
      <c r="AE129" s="2" t="str">
        <f>LOWER(Table5[[#This Row],[staff_pick]])</f>
        <v>false</v>
      </c>
      <c r="AF129" t="s">
        <v>16</v>
      </c>
      <c r="AH129" s="19">
        <v>46303.29</v>
      </c>
      <c r="AI129" s="10"/>
    </row>
    <row r="130" spans="1:35" x14ac:dyDescent="0.2">
      <c r="A130" s="18">
        <v>1812075920</v>
      </c>
      <c r="B130" t="s">
        <v>176</v>
      </c>
      <c r="C130" t="str">
        <f>CONCATENATE(Table5[[#This Row],[id]], "-", PROPER(Table5[[#This Row],[name]]))</f>
        <v>1812075920-The Mescalaro Prophecy: Dungeons And Dragons Adventure (5E)</v>
      </c>
      <c r="D130" s="1">
        <v>43711</v>
      </c>
      <c r="E130" s="1">
        <v>43725</v>
      </c>
      <c r="F130" s="1">
        <v>43735</v>
      </c>
      <c r="G130" s="18">
        <f t="shared" si="23"/>
        <v>10</v>
      </c>
      <c r="H130" s="18">
        <f t="shared" si="24"/>
        <v>2</v>
      </c>
      <c r="I130" s="18">
        <f t="shared" si="25"/>
        <v>9</v>
      </c>
      <c r="K130" s="28">
        <v>125</v>
      </c>
      <c r="L130" s="28">
        <f t="shared" ref="L130:L153" si="33">IF(OR(I130=1,I130=9), IF(AND(U130="Vancouver", Y130= "Canada"),K130+5, K130), K130)</f>
        <v>125</v>
      </c>
      <c r="M130" s="22">
        <f t="shared" si="27"/>
        <v>10</v>
      </c>
      <c r="N130" t="s">
        <v>15</v>
      </c>
      <c r="O130">
        <f>VLOOKUP(Table5[[#This Row],[currency]],Table3[],2)</f>
        <v>1</v>
      </c>
      <c r="P130" s="18">
        <v>6469</v>
      </c>
      <c r="Q130" s="32">
        <f>Table5[[#This Row],[pledged]]*Table5[[#This Row],[Exchange_rate]]</f>
        <v>6469</v>
      </c>
      <c r="R130" s="33">
        <f>ROUND(Table5[[#This Row],[Pledged_USD]],0)</f>
        <v>6469</v>
      </c>
      <c r="S130" s="35">
        <v>3500</v>
      </c>
      <c r="T130" s="35">
        <f>VALUE(Table5[[#This Row],[goal_USD]])</f>
        <v>3500</v>
      </c>
      <c r="U130" t="s">
        <v>390</v>
      </c>
      <c r="V130" t="s">
        <v>678</v>
      </c>
      <c r="W130" t="str">
        <f t="shared" ref="W130:W153" si="34">CONCATENATE(U130, ", ", V130)</f>
        <v>Minneapolis, MN</v>
      </c>
      <c r="X130" t="s">
        <v>527</v>
      </c>
      <c r="Y130" t="str">
        <f t="shared" ref="Y130:Y161" si="35">TRIM(X130)</f>
        <v>United States</v>
      </c>
      <c r="Z130" t="s">
        <v>38</v>
      </c>
      <c r="AA130">
        <f t="shared" ref="AA130:AA153" si="36">LEN("https://www.kickstarter.com/discover/categories/games/")</f>
        <v>54</v>
      </c>
      <c r="AB130" t="str">
        <f t="shared" ref="AB130:AB153" si="37">RIGHT(Z130,LEN(Z130)-54)</f>
        <v>tabletop%20games</v>
      </c>
      <c r="AC130" t="str">
        <f>SUBSTITUTE(Table5[[#This Row],[source_url_category]], "%20", " ")</f>
        <v>tabletop games</v>
      </c>
      <c r="AD130" s="2" t="b">
        <v>0</v>
      </c>
      <c r="AE130" s="2" t="str">
        <f>LOWER(Table5[[#This Row],[staff_pick]])</f>
        <v>false</v>
      </c>
      <c r="AF130" t="s">
        <v>16</v>
      </c>
      <c r="AH130" s="19">
        <v>50384</v>
      </c>
      <c r="AI130" s="10"/>
    </row>
    <row r="131" spans="1:35" x14ac:dyDescent="0.2">
      <c r="A131" s="18">
        <v>1821926377</v>
      </c>
      <c r="B131" t="s">
        <v>245</v>
      </c>
      <c r="C131" t="str">
        <f>CONCATENATE(Table5[[#This Row],[id]], "-", PROPER(Table5[[#This Row],[name]]))</f>
        <v>1821926377-The Hedgehog Hop</v>
      </c>
      <c r="D131" s="1">
        <v>43716</v>
      </c>
      <c r="E131" s="1">
        <v>43748</v>
      </c>
      <c r="F131" s="1">
        <v>43778</v>
      </c>
      <c r="G131" s="18">
        <f t="shared" ref="G131:G153" si="38">F131-E131</f>
        <v>30</v>
      </c>
      <c r="H131" s="18">
        <f t="shared" ref="H131:H153" si="39">WEEKDAY(E131,2)</f>
        <v>4</v>
      </c>
      <c r="I131" s="18">
        <f t="shared" ref="I131:I153" si="40">MONTH(E131)</f>
        <v>10</v>
      </c>
      <c r="K131" s="29">
        <v>275</v>
      </c>
      <c r="L131" s="29">
        <f t="shared" si="33"/>
        <v>275</v>
      </c>
      <c r="M131" s="22">
        <f t="shared" ref="M131:M153" si="41">F131-E131</f>
        <v>30</v>
      </c>
      <c r="N131" t="s">
        <v>15</v>
      </c>
      <c r="O131">
        <f>VLOOKUP(Table5[[#This Row],[currency]],Table3[],2)</f>
        <v>1</v>
      </c>
      <c r="P131" s="18">
        <v>10986</v>
      </c>
      <c r="Q131" s="32">
        <f>Table5[[#This Row],[pledged]]*Table5[[#This Row],[Exchange_rate]]</f>
        <v>10986</v>
      </c>
      <c r="R131" s="33">
        <f>ROUND(Table5[[#This Row],[Pledged_USD]],0)</f>
        <v>10986</v>
      </c>
      <c r="S131" s="35">
        <v>5000</v>
      </c>
      <c r="T131" s="35">
        <f>VALUE(Table5[[#This Row],[goal_USD]])</f>
        <v>5000</v>
      </c>
      <c r="U131" t="s">
        <v>345</v>
      </c>
      <c r="V131" t="s">
        <v>693</v>
      </c>
      <c r="W131" t="str">
        <f t="shared" si="34"/>
        <v>Cincinnati, OH</v>
      </c>
      <c r="X131" t="s">
        <v>527</v>
      </c>
      <c r="Y131" t="str">
        <f t="shared" si="35"/>
        <v>United States</v>
      </c>
      <c r="Z131" t="s">
        <v>107</v>
      </c>
      <c r="AA131">
        <f t="shared" si="36"/>
        <v>54</v>
      </c>
      <c r="AB131" t="str">
        <f t="shared" si="37"/>
        <v>playing%20cards</v>
      </c>
      <c r="AC131" t="str">
        <f>SUBSTITUTE(Table5[[#This Row],[source_url_category]], "%20", " ")</f>
        <v>playing cards</v>
      </c>
      <c r="AD131" s="2" t="b">
        <v>0</v>
      </c>
      <c r="AE131" s="2" t="str">
        <f>LOWER(Table5[[#This Row],[staff_pick]])</f>
        <v>false</v>
      </c>
      <c r="AF131" t="s">
        <v>16</v>
      </c>
      <c r="AH131" s="19">
        <v>52469</v>
      </c>
      <c r="AI131" s="10"/>
    </row>
    <row r="132" spans="1:35" x14ac:dyDescent="0.2">
      <c r="A132" s="18">
        <v>1835829695</v>
      </c>
      <c r="B132" t="s">
        <v>249</v>
      </c>
      <c r="C132" t="str">
        <f>CONCATENATE(Table5[[#This Row],[id]], "-", PROPER(Table5[[#This Row],[name]]))</f>
        <v>1835829695-Storosso, New Beach, Backyard, Tailgate Game (Canceled)</v>
      </c>
      <c r="D132" s="1">
        <v>43718</v>
      </c>
      <c r="E132" s="1">
        <v>43740</v>
      </c>
      <c r="F132" s="1">
        <v>43770</v>
      </c>
      <c r="G132" s="18">
        <f t="shared" si="38"/>
        <v>30</v>
      </c>
      <c r="H132" s="18">
        <f t="shared" si="39"/>
        <v>3</v>
      </c>
      <c r="I132" s="18">
        <f t="shared" si="40"/>
        <v>10</v>
      </c>
      <c r="K132" s="28">
        <v>30</v>
      </c>
      <c r="L132" s="28">
        <f t="shared" si="33"/>
        <v>30</v>
      </c>
      <c r="M132" s="22">
        <f t="shared" si="41"/>
        <v>30</v>
      </c>
      <c r="N132" t="s">
        <v>19</v>
      </c>
      <c r="O132">
        <f>VLOOKUP(Table5[[#This Row],[currency]],Table3[],2)</f>
        <v>1.49576325</v>
      </c>
      <c r="P132" s="18">
        <v>2047</v>
      </c>
      <c r="Q132" s="32">
        <f>Table5[[#This Row],[pledged]]*Table5[[#This Row],[Exchange_rate]]</f>
        <v>3061.82737275</v>
      </c>
      <c r="R132" s="33">
        <f>ROUND(Table5[[#This Row],[Pledged_USD]],0)</f>
        <v>3062</v>
      </c>
      <c r="S132" s="35">
        <v>6000</v>
      </c>
      <c r="T132" s="35">
        <f>VALUE(Table5[[#This Row],[goal_USD]])</f>
        <v>6000</v>
      </c>
      <c r="U132" t="s">
        <v>416</v>
      </c>
      <c r="V132" t="s">
        <v>650</v>
      </c>
      <c r="W132" t="str">
        <f t="shared" si="34"/>
        <v>Nottingham, England</v>
      </c>
      <c r="X132" t="s">
        <v>526</v>
      </c>
      <c r="Y132" t="str">
        <f t="shared" si="35"/>
        <v>United Kingdom</v>
      </c>
      <c r="Z132" t="s">
        <v>107</v>
      </c>
      <c r="AA132">
        <f t="shared" si="36"/>
        <v>54</v>
      </c>
      <c r="AB132" t="str">
        <f t="shared" si="37"/>
        <v>playing%20cards</v>
      </c>
      <c r="AC132" t="str">
        <f>SUBSTITUTE(Table5[[#This Row],[source_url_category]], "%20", " ")</f>
        <v>playing cards</v>
      </c>
      <c r="AD132" s="2" t="b">
        <v>0</v>
      </c>
      <c r="AE132" s="2" t="str">
        <f>LOWER(Table5[[#This Row],[staff_pick]])</f>
        <v>false</v>
      </c>
      <c r="AF132" t="s">
        <v>17</v>
      </c>
      <c r="AH132" s="19">
        <v>53416</v>
      </c>
      <c r="AI132" s="10"/>
    </row>
    <row r="133" spans="1:35" x14ac:dyDescent="0.2">
      <c r="A133" s="18">
        <v>1851778839</v>
      </c>
      <c r="B133" t="s">
        <v>258</v>
      </c>
      <c r="C133" t="str">
        <f>CONCATENATE(Table5[[#This Row],[id]], "-", PROPER(Table5[[#This Row],[name]]))</f>
        <v>1851778839-Bullship! - Never Trust A Pirate!</v>
      </c>
      <c r="D133" s="1">
        <v>43718</v>
      </c>
      <c r="E133" s="1">
        <v>43776</v>
      </c>
      <c r="F133" s="1">
        <v>43811</v>
      </c>
      <c r="G133" s="18">
        <f t="shared" si="38"/>
        <v>35</v>
      </c>
      <c r="H133" s="18">
        <f t="shared" si="39"/>
        <v>4</v>
      </c>
      <c r="I133" s="18">
        <f t="shared" si="40"/>
        <v>11</v>
      </c>
      <c r="K133" s="29">
        <v>213</v>
      </c>
      <c r="L133" s="29">
        <f t="shared" si="33"/>
        <v>213</v>
      </c>
      <c r="M133" s="22">
        <f t="shared" si="41"/>
        <v>35</v>
      </c>
      <c r="N133" t="s">
        <v>18</v>
      </c>
      <c r="O133">
        <f>VLOOKUP(Table5[[#This Row],[currency]],Table3[],2)</f>
        <v>1.16955371</v>
      </c>
      <c r="P133" s="18">
        <v>4643</v>
      </c>
      <c r="Q133" s="32">
        <f>Table5[[#This Row],[pledged]]*Table5[[#This Row],[Exchange_rate]]</f>
        <v>5430.2378755299997</v>
      </c>
      <c r="R133" s="33">
        <f>ROUND(Table5[[#This Row],[Pledged_USD]],0)</f>
        <v>5430</v>
      </c>
      <c r="S133" s="35">
        <v>8400</v>
      </c>
      <c r="T133" s="35">
        <f>VALUE(Table5[[#This Row],[goal_USD]])</f>
        <v>8400</v>
      </c>
      <c r="U133" t="s">
        <v>464</v>
      </c>
      <c r="V133" t="s">
        <v>694</v>
      </c>
      <c r="W133" t="str">
        <f t="shared" si="34"/>
        <v>Bordeaux, Aquitaine</v>
      </c>
      <c r="X133" t="s">
        <v>530</v>
      </c>
      <c r="Y133" t="str">
        <f t="shared" si="35"/>
        <v>France</v>
      </c>
      <c r="Z133" t="s">
        <v>38</v>
      </c>
      <c r="AA133">
        <f t="shared" si="36"/>
        <v>54</v>
      </c>
      <c r="AB133" t="str">
        <f t="shared" si="37"/>
        <v>tabletop%20games</v>
      </c>
      <c r="AC133" t="str">
        <f>SUBSTITUTE(Table5[[#This Row],[source_url_category]], "%20", " ")</f>
        <v>tabletop games</v>
      </c>
      <c r="AD133" s="2" t="b">
        <v>0</v>
      </c>
      <c r="AE133" s="2" t="str">
        <f>LOWER(Table5[[#This Row],[staff_pick]])</f>
        <v>false</v>
      </c>
      <c r="AF133" t="s">
        <v>20</v>
      </c>
      <c r="AH133" s="19">
        <v>54200</v>
      </c>
      <c r="AI133" s="10"/>
    </row>
    <row r="134" spans="1:35" x14ac:dyDescent="0.2">
      <c r="A134" s="18">
        <v>1859070850</v>
      </c>
      <c r="B134" t="s">
        <v>62</v>
      </c>
      <c r="C134" t="str">
        <f>CONCATENATE(Table5[[#This Row],[id]], "-", PROPER(Table5[[#This Row],[name]]))</f>
        <v>1859070850-Savage Realms - Escape From Darkmoor Keep</v>
      </c>
      <c r="D134" s="1">
        <v>43718</v>
      </c>
      <c r="E134" s="1">
        <v>43720</v>
      </c>
      <c r="F134" s="1">
        <v>43751</v>
      </c>
      <c r="G134" s="18">
        <f t="shared" si="38"/>
        <v>31</v>
      </c>
      <c r="H134" s="18">
        <f t="shared" si="39"/>
        <v>4</v>
      </c>
      <c r="I134" s="18">
        <f t="shared" si="40"/>
        <v>9</v>
      </c>
      <c r="K134" s="28">
        <v>547</v>
      </c>
      <c r="L134" s="28">
        <f t="shared" si="33"/>
        <v>547</v>
      </c>
      <c r="M134" s="22">
        <f t="shared" si="41"/>
        <v>31</v>
      </c>
      <c r="N134" t="s">
        <v>22</v>
      </c>
      <c r="O134">
        <f>VLOOKUP(Table5[[#This Row],[currency]],Table3[],2)</f>
        <v>0.76932900999999998</v>
      </c>
      <c r="P134" s="18">
        <v>21604.29</v>
      </c>
      <c r="Q134" s="32">
        <f>Table5[[#This Row],[pledged]]*Table5[[#This Row],[Exchange_rate]]</f>
        <v>16620.807037452902</v>
      </c>
      <c r="R134" s="33">
        <f>ROUND(Table5[[#This Row],[Pledged_USD]],0)</f>
        <v>16621</v>
      </c>
      <c r="S134" s="35">
        <v>10000</v>
      </c>
      <c r="T134" s="35">
        <f>VALUE(Table5[[#This Row],[goal_USD]])</f>
        <v>10000</v>
      </c>
      <c r="U134" t="s">
        <v>393</v>
      </c>
      <c r="V134" t="s">
        <v>688</v>
      </c>
      <c r="W134" t="str">
        <f t="shared" si="34"/>
        <v>Calgary, AB</v>
      </c>
      <c r="X134" t="s">
        <v>532</v>
      </c>
      <c r="Y134" t="str">
        <f t="shared" si="35"/>
        <v>Canada</v>
      </c>
      <c r="Z134" t="s">
        <v>38</v>
      </c>
      <c r="AA134">
        <f t="shared" si="36"/>
        <v>54</v>
      </c>
      <c r="AB134" t="str">
        <f t="shared" si="37"/>
        <v>tabletop%20games</v>
      </c>
      <c r="AC134" t="str">
        <f>SUBSTITUTE(Table5[[#This Row],[source_url_category]], "%20", " ")</f>
        <v>tabletop games</v>
      </c>
      <c r="AD134" s="2" t="b">
        <v>0</v>
      </c>
      <c r="AE134" s="2" t="str">
        <f>LOWER(Table5[[#This Row],[staff_pick]])</f>
        <v>false</v>
      </c>
      <c r="AF134" t="s">
        <v>16</v>
      </c>
      <c r="AH134" s="19">
        <v>58293</v>
      </c>
      <c r="AI134" s="10"/>
    </row>
    <row r="135" spans="1:35" x14ac:dyDescent="0.2">
      <c r="A135" s="18">
        <v>1884324378</v>
      </c>
      <c r="B135" t="s">
        <v>145</v>
      </c>
      <c r="C135" t="str">
        <f>CONCATENATE(Table5[[#This Row],[id]], "-", PROPER(Table5[[#This Row],[name]]))</f>
        <v>1884324378-Handsome - An Elegant Wordgame By Tc Petty Iii</v>
      </c>
      <c r="D135" s="1">
        <v>43720</v>
      </c>
      <c r="E135" s="1">
        <v>43743</v>
      </c>
      <c r="F135" s="1">
        <v>43773</v>
      </c>
      <c r="G135" s="18">
        <f t="shared" si="38"/>
        <v>30</v>
      </c>
      <c r="H135" s="18">
        <f t="shared" si="39"/>
        <v>6</v>
      </c>
      <c r="I135" s="18">
        <f t="shared" si="40"/>
        <v>10</v>
      </c>
      <c r="K135" s="29">
        <v>125</v>
      </c>
      <c r="L135" s="29">
        <f t="shared" si="33"/>
        <v>125</v>
      </c>
      <c r="M135" s="22">
        <f t="shared" si="41"/>
        <v>30</v>
      </c>
      <c r="N135" t="s">
        <v>19</v>
      </c>
      <c r="O135">
        <f>VLOOKUP(Table5[[#This Row],[currency]],Table3[],2)</f>
        <v>1.49576325</v>
      </c>
      <c r="P135" s="18">
        <v>3886</v>
      </c>
      <c r="Q135" s="32">
        <f>Table5[[#This Row],[pledged]]*Table5[[#This Row],[Exchange_rate]]</f>
        <v>5812.5359895000001</v>
      </c>
      <c r="R135" s="33">
        <f>ROUND(Table5[[#This Row],[Pledged_USD]],0)</f>
        <v>5813</v>
      </c>
      <c r="S135" s="35">
        <v>2000</v>
      </c>
      <c r="T135" s="35">
        <f>VALUE(Table5[[#This Row],[goal_USD]])</f>
        <v>2000</v>
      </c>
      <c r="U135" t="s">
        <v>468</v>
      </c>
      <c r="V135" t="s">
        <v>650</v>
      </c>
      <c r="W135" t="str">
        <f t="shared" si="34"/>
        <v>Winchester, England</v>
      </c>
      <c r="X135" t="s">
        <v>526</v>
      </c>
      <c r="Y135" t="str">
        <f t="shared" si="35"/>
        <v>United Kingdom</v>
      </c>
      <c r="Z135" t="s">
        <v>107</v>
      </c>
      <c r="AA135">
        <f t="shared" si="36"/>
        <v>54</v>
      </c>
      <c r="AB135" t="str">
        <f t="shared" si="37"/>
        <v>playing%20cards</v>
      </c>
      <c r="AC135" t="str">
        <f>SUBSTITUTE(Table5[[#This Row],[source_url_category]], "%20", " ")</f>
        <v>playing cards</v>
      </c>
      <c r="AD135" s="2" t="b">
        <v>0</v>
      </c>
      <c r="AE135" s="2" t="str">
        <f>LOWER(Table5[[#This Row],[staff_pick]])</f>
        <v>false</v>
      </c>
      <c r="AF135" t="s">
        <v>16</v>
      </c>
      <c r="AH135" s="19">
        <v>78175.5</v>
      </c>
      <c r="AI135" s="10"/>
    </row>
    <row r="136" spans="1:35" x14ac:dyDescent="0.2">
      <c r="A136" s="18">
        <v>1884678356</v>
      </c>
      <c r="B136" t="s">
        <v>70</v>
      </c>
      <c r="C136" t="str">
        <f>CONCATENATE(Table5[[#This Row],[id]], "-", PROPER(Table5[[#This Row],[name]]))</f>
        <v>1884678356-King H√Πng Era</v>
      </c>
      <c r="D136" s="1">
        <v>43721</v>
      </c>
      <c r="E136" s="1">
        <v>43732</v>
      </c>
      <c r="F136" s="1">
        <v>43753</v>
      </c>
      <c r="G136" s="18">
        <f t="shared" si="38"/>
        <v>21</v>
      </c>
      <c r="H136" s="18">
        <f t="shared" si="39"/>
        <v>2</v>
      </c>
      <c r="I136" s="18">
        <f t="shared" si="40"/>
        <v>9</v>
      </c>
      <c r="K136" s="28">
        <v>676</v>
      </c>
      <c r="L136" s="28">
        <f t="shared" si="33"/>
        <v>676</v>
      </c>
      <c r="M136" s="22">
        <f t="shared" si="41"/>
        <v>21</v>
      </c>
      <c r="N136" t="s">
        <v>18</v>
      </c>
      <c r="O136">
        <f>VLOOKUP(Table5[[#This Row],[currency]],Table3[],2)</f>
        <v>1.16955371</v>
      </c>
      <c r="P136" s="18">
        <v>9244.75</v>
      </c>
      <c r="Q136" s="32">
        <f>Table5[[#This Row],[pledged]]*Table5[[#This Row],[Exchange_rate]]</f>
        <v>10812.231660522501</v>
      </c>
      <c r="R136" s="33">
        <f>ROUND(Table5[[#This Row],[Pledged_USD]],0)</f>
        <v>10812</v>
      </c>
      <c r="S136" s="35">
        <v>5000</v>
      </c>
      <c r="T136" s="35">
        <f>VALUE(Table5[[#This Row],[goal_USD]])</f>
        <v>5000</v>
      </c>
      <c r="U136" t="s">
        <v>370</v>
      </c>
      <c r="V136" t="s">
        <v>695</v>
      </c>
      <c r="W136" t="str">
        <f t="shared" si="34"/>
        <v>Rome, Lazio</v>
      </c>
      <c r="X136" t="s">
        <v>533</v>
      </c>
      <c r="Y136" t="str">
        <f t="shared" si="35"/>
        <v>Italy</v>
      </c>
      <c r="Z136" t="s">
        <v>38</v>
      </c>
      <c r="AA136">
        <f t="shared" si="36"/>
        <v>54</v>
      </c>
      <c r="AB136" t="str">
        <f t="shared" si="37"/>
        <v>tabletop%20games</v>
      </c>
      <c r="AC136" t="str">
        <f>SUBSTITUTE(Table5[[#This Row],[source_url_category]], "%20", " ")</f>
        <v>tabletop games</v>
      </c>
      <c r="AD136" s="2" t="b">
        <v>0</v>
      </c>
      <c r="AE136" s="2" t="str">
        <f>LOWER(Table5[[#This Row],[staff_pick]])</f>
        <v>false</v>
      </c>
      <c r="AF136" t="s">
        <v>16</v>
      </c>
      <c r="AH136" s="19">
        <v>87445</v>
      </c>
      <c r="AI136" s="10"/>
    </row>
    <row r="137" spans="1:35" x14ac:dyDescent="0.2">
      <c r="A137" s="18">
        <v>1905254051</v>
      </c>
      <c r="B137" t="s">
        <v>219</v>
      </c>
      <c r="C137" t="str">
        <f>CONCATENATE(Table5[[#This Row],[id]], "-", PROPER(Table5[[#This Row],[name]]))</f>
        <v>1905254051-Matryoshka: A Set-Collection And Trading Game For 3-5P</v>
      </c>
      <c r="D137" s="1">
        <v>43722</v>
      </c>
      <c r="E137" s="1">
        <v>43746</v>
      </c>
      <c r="F137" s="1">
        <v>43786</v>
      </c>
      <c r="G137" s="18">
        <f t="shared" si="38"/>
        <v>40</v>
      </c>
      <c r="H137" s="18">
        <f t="shared" si="39"/>
        <v>2</v>
      </c>
      <c r="I137" s="18">
        <f t="shared" si="40"/>
        <v>10</v>
      </c>
      <c r="K137" s="29">
        <v>1</v>
      </c>
      <c r="L137" s="29">
        <f t="shared" si="33"/>
        <v>1</v>
      </c>
      <c r="M137" s="22">
        <f t="shared" si="41"/>
        <v>40</v>
      </c>
      <c r="N137" t="s">
        <v>15</v>
      </c>
      <c r="O137">
        <f>VLOOKUP(Table5[[#This Row],[currency]],Table3[],2)</f>
        <v>1</v>
      </c>
      <c r="P137" s="18">
        <v>1</v>
      </c>
      <c r="Q137" s="32">
        <f>Table5[[#This Row],[pledged]]*Table5[[#This Row],[Exchange_rate]]</f>
        <v>1</v>
      </c>
      <c r="R137" s="33">
        <f>ROUND(Table5[[#This Row],[Pledged_USD]],0)</f>
        <v>1</v>
      </c>
      <c r="S137" s="35">
        <v>500</v>
      </c>
      <c r="T137" s="35">
        <f>VALUE(Table5[[#This Row],[goal_USD]])</f>
        <v>500</v>
      </c>
      <c r="U137" t="s">
        <v>383</v>
      </c>
      <c r="V137" t="s">
        <v>667</v>
      </c>
      <c r="W137" t="str">
        <f t="shared" si="34"/>
        <v>Orem, UT</v>
      </c>
      <c r="X137" t="s">
        <v>527</v>
      </c>
      <c r="Y137" t="str">
        <f t="shared" si="35"/>
        <v>United States</v>
      </c>
      <c r="Z137" t="s">
        <v>106</v>
      </c>
      <c r="AA137">
        <f t="shared" si="36"/>
        <v>54</v>
      </c>
      <c r="AB137" t="str">
        <f t="shared" si="37"/>
        <v>mobile%20games</v>
      </c>
      <c r="AC137" t="str">
        <f>SUBSTITUTE(Table5[[#This Row],[source_url_category]], "%20", " ")</f>
        <v>mobile games</v>
      </c>
      <c r="AD137" s="2" t="b">
        <v>0</v>
      </c>
      <c r="AE137" s="2" t="str">
        <f>LOWER(Table5[[#This Row],[staff_pick]])</f>
        <v>false</v>
      </c>
      <c r="AF137" t="s">
        <v>20</v>
      </c>
      <c r="AH137" s="19">
        <v>109565.5</v>
      </c>
      <c r="AI137" s="10"/>
    </row>
    <row r="138" spans="1:35" x14ac:dyDescent="0.2">
      <c r="A138" s="18">
        <v>1925222935</v>
      </c>
      <c r="B138" t="s">
        <v>264</v>
      </c>
      <c r="C138" t="str">
        <f>CONCATENATE(Table5[[#This Row],[id]], "-", PROPER(Table5[[#This Row],[name]]))</f>
        <v>1925222935-Catch The Letch</v>
      </c>
      <c r="D138" s="1">
        <v>43722</v>
      </c>
      <c r="E138" s="1">
        <v>43722</v>
      </c>
      <c r="F138" s="1">
        <v>43737</v>
      </c>
      <c r="G138" s="18">
        <f t="shared" si="38"/>
        <v>15</v>
      </c>
      <c r="H138" s="18">
        <f t="shared" si="39"/>
        <v>6</v>
      </c>
      <c r="I138" s="18">
        <f t="shared" si="40"/>
        <v>9</v>
      </c>
      <c r="K138" s="28">
        <v>67</v>
      </c>
      <c r="L138" s="28">
        <f t="shared" si="33"/>
        <v>67</v>
      </c>
      <c r="M138" s="22">
        <f t="shared" si="41"/>
        <v>15</v>
      </c>
      <c r="N138" t="s">
        <v>15</v>
      </c>
      <c r="O138">
        <f>VLOOKUP(Table5[[#This Row],[currency]],Table3[],2)</f>
        <v>1</v>
      </c>
      <c r="P138" s="18">
        <v>1489</v>
      </c>
      <c r="Q138" s="32">
        <f>Table5[[#This Row],[pledged]]*Table5[[#This Row],[Exchange_rate]]</f>
        <v>1489</v>
      </c>
      <c r="R138" s="33">
        <f>ROUND(Table5[[#This Row],[Pledged_USD]],0)</f>
        <v>1489</v>
      </c>
      <c r="S138" s="35">
        <v>500</v>
      </c>
      <c r="T138" s="35">
        <f>VALUE(Table5[[#This Row],[goal_USD]])</f>
        <v>500</v>
      </c>
      <c r="U138" t="s">
        <v>477</v>
      </c>
      <c r="V138" t="s">
        <v>653</v>
      </c>
      <c r="W138" t="str">
        <f t="shared" si="34"/>
        <v>Stevens Point, WI</v>
      </c>
      <c r="X138" t="s">
        <v>527</v>
      </c>
      <c r="Y138" t="str">
        <f t="shared" si="35"/>
        <v>United States</v>
      </c>
      <c r="Z138" t="s">
        <v>38</v>
      </c>
      <c r="AA138">
        <f t="shared" si="36"/>
        <v>54</v>
      </c>
      <c r="AB138" t="str">
        <f t="shared" si="37"/>
        <v>tabletop%20games</v>
      </c>
      <c r="AC138" t="str">
        <f>SUBSTITUTE(Table5[[#This Row],[source_url_category]], "%20", " ")</f>
        <v>tabletop games</v>
      </c>
      <c r="AD138" s="2" t="b">
        <v>0</v>
      </c>
      <c r="AE138" s="2" t="str">
        <f>LOWER(Table5[[#This Row],[staff_pick]])</f>
        <v>false</v>
      </c>
      <c r="AF138" t="s">
        <v>16</v>
      </c>
      <c r="AH138" s="19">
        <v>120066</v>
      </c>
      <c r="AI138" s="10"/>
    </row>
    <row r="139" spans="1:35" x14ac:dyDescent="0.2">
      <c r="A139" s="18">
        <v>1926175052</v>
      </c>
      <c r="B139" t="s">
        <v>224</v>
      </c>
      <c r="C139" t="str">
        <f>CONCATENATE(Table5[[#This Row],[id]], "-", PROPER(Table5[[#This Row],[name]]))</f>
        <v>1926175052-Troll'S Teeth: A Tabletop Rpg Game Of Chance‚Ñ¢</v>
      </c>
      <c r="D139" s="1">
        <v>43723</v>
      </c>
      <c r="E139" s="1">
        <v>43782</v>
      </c>
      <c r="F139" s="1">
        <v>43810</v>
      </c>
      <c r="G139" s="18">
        <f t="shared" si="38"/>
        <v>28</v>
      </c>
      <c r="H139" s="18">
        <f t="shared" si="39"/>
        <v>3</v>
      </c>
      <c r="I139" s="18">
        <f t="shared" si="40"/>
        <v>11</v>
      </c>
      <c r="K139" s="29">
        <v>33</v>
      </c>
      <c r="L139" s="29">
        <f t="shared" si="33"/>
        <v>33</v>
      </c>
      <c r="M139" s="22">
        <f t="shared" si="41"/>
        <v>28</v>
      </c>
      <c r="N139" t="s">
        <v>27</v>
      </c>
      <c r="O139">
        <f>VLOOKUP(Table5[[#This Row],[currency]],Table3[],2)</f>
        <v>0.90338969999999996</v>
      </c>
      <c r="P139" s="18">
        <v>1592.32</v>
      </c>
      <c r="Q139" s="32">
        <f>Table5[[#This Row],[pledged]]*Table5[[#This Row],[Exchange_rate]]</f>
        <v>1438.485487104</v>
      </c>
      <c r="R139" s="33">
        <f>ROUND(Table5[[#This Row],[Pledged_USD]],0)</f>
        <v>1438</v>
      </c>
      <c r="S139" s="35">
        <v>8000</v>
      </c>
      <c r="T139" s="35">
        <f>VALUE(Table5[[#This Row],[goal_USD]])</f>
        <v>8000</v>
      </c>
      <c r="U139" t="s">
        <v>356</v>
      </c>
      <c r="V139" t="s">
        <v>690</v>
      </c>
      <c r="W139" t="str">
        <f t="shared" si="34"/>
        <v>Sydney, NSW</v>
      </c>
      <c r="X139" t="s">
        <v>529</v>
      </c>
      <c r="Y139" t="str">
        <f t="shared" si="35"/>
        <v>Australia</v>
      </c>
      <c r="Z139" t="s">
        <v>38</v>
      </c>
      <c r="AA139">
        <f t="shared" si="36"/>
        <v>54</v>
      </c>
      <c r="AB139" t="str">
        <f t="shared" si="37"/>
        <v>tabletop%20games</v>
      </c>
      <c r="AC139" t="str">
        <f>SUBSTITUTE(Table5[[#This Row],[source_url_category]], "%20", " ")</f>
        <v>tabletop games</v>
      </c>
      <c r="AD139" s="2" t="b">
        <v>0</v>
      </c>
      <c r="AE139" s="2" t="str">
        <f>LOWER(Table5[[#This Row],[staff_pick]])</f>
        <v>false</v>
      </c>
      <c r="AF139" t="s">
        <v>20</v>
      </c>
      <c r="AH139" s="19">
        <v>123665</v>
      </c>
      <c r="AI139" s="10"/>
    </row>
    <row r="140" spans="1:35" x14ac:dyDescent="0.2">
      <c r="A140" s="18">
        <v>1929508597</v>
      </c>
      <c r="B140" t="s">
        <v>60</v>
      </c>
      <c r="C140" t="str">
        <f>CONCATENATE(Table5[[#This Row],[id]], "-", PROPER(Table5[[#This Row],[name]]))</f>
        <v>1929508597-Fearsome Critters</v>
      </c>
      <c r="D140" s="1">
        <v>43728</v>
      </c>
      <c r="E140" s="1">
        <v>43730</v>
      </c>
      <c r="F140" s="1">
        <v>43751</v>
      </c>
      <c r="G140" s="18">
        <f t="shared" si="38"/>
        <v>21</v>
      </c>
      <c r="H140" s="18">
        <f t="shared" si="39"/>
        <v>7</v>
      </c>
      <c r="I140" s="18">
        <f t="shared" si="40"/>
        <v>9</v>
      </c>
      <c r="K140" s="28">
        <v>1756</v>
      </c>
      <c r="L140" s="28">
        <f t="shared" si="33"/>
        <v>1756</v>
      </c>
      <c r="M140" s="22">
        <f t="shared" si="41"/>
        <v>21</v>
      </c>
      <c r="N140" t="s">
        <v>18</v>
      </c>
      <c r="O140">
        <f>VLOOKUP(Table5[[#This Row],[currency]],Table3[],2)</f>
        <v>1.16955371</v>
      </c>
      <c r="P140" s="18">
        <v>123665</v>
      </c>
      <c r="Q140" s="32">
        <f>Table5[[#This Row],[pledged]]*Table5[[#This Row],[Exchange_rate]]</f>
        <v>144632.85954715</v>
      </c>
      <c r="R140" s="33">
        <f>ROUND(Table5[[#This Row],[Pledged_USD]],0)</f>
        <v>144633</v>
      </c>
      <c r="S140" s="35">
        <v>10000</v>
      </c>
      <c r="T140" s="35">
        <f>VALUE(Table5[[#This Row],[goal_USD]])</f>
        <v>10000</v>
      </c>
      <c r="U140" t="s">
        <v>367</v>
      </c>
      <c r="V140" t="s">
        <v>367</v>
      </c>
      <c r="W140" t="str">
        <f t="shared" si="34"/>
        <v>Hamburg, Hamburg</v>
      </c>
      <c r="X140" t="s">
        <v>528</v>
      </c>
      <c r="Y140" t="str">
        <f t="shared" si="35"/>
        <v>Germany</v>
      </c>
      <c r="Z140" t="s">
        <v>38</v>
      </c>
      <c r="AA140">
        <f t="shared" si="36"/>
        <v>54</v>
      </c>
      <c r="AB140" t="str">
        <f t="shared" si="37"/>
        <v>tabletop%20games</v>
      </c>
      <c r="AC140" t="str">
        <f>SUBSTITUTE(Table5[[#This Row],[source_url_category]], "%20", " ")</f>
        <v>tabletop games</v>
      </c>
      <c r="AD140" s="2" t="b">
        <v>0</v>
      </c>
      <c r="AE140" s="2" t="str">
        <f>LOWER(Table5[[#This Row],[staff_pick]])</f>
        <v>false</v>
      </c>
      <c r="AF140" t="s">
        <v>16</v>
      </c>
      <c r="AH140" s="19">
        <v>135083.28</v>
      </c>
      <c r="AI140" s="10"/>
    </row>
    <row r="141" spans="1:35" x14ac:dyDescent="0.2">
      <c r="A141" s="18">
        <v>1950581568</v>
      </c>
      <c r="B141" t="s">
        <v>138</v>
      </c>
      <c r="C141" t="str">
        <f>CONCATENATE(Table5[[#This Row],[id]], "-", PROPER(Table5[[#This Row],[name]]))</f>
        <v>1950581568-53 Films</v>
      </c>
      <c r="D141" s="1">
        <v>43731</v>
      </c>
      <c r="E141" s="1">
        <v>43746</v>
      </c>
      <c r="F141" s="1">
        <v>43776</v>
      </c>
      <c r="G141" s="18">
        <f t="shared" si="38"/>
        <v>30</v>
      </c>
      <c r="H141" s="18">
        <f t="shared" si="39"/>
        <v>2</v>
      </c>
      <c r="I141" s="18">
        <f t="shared" si="40"/>
        <v>10</v>
      </c>
      <c r="K141" s="29">
        <v>112</v>
      </c>
      <c r="L141" s="29">
        <f t="shared" si="33"/>
        <v>112</v>
      </c>
      <c r="M141" s="22">
        <f t="shared" si="41"/>
        <v>30</v>
      </c>
      <c r="N141" t="s">
        <v>15</v>
      </c>
      <c r="O141">
        <f>VLOOKUP(Table5[[#This Row],[currency]],Table3[],2)</f>
        <v>1</v>
      </c>
      <c r="P141" s="18">
        <v>6029</v>
      </c>
      <c r="Q141" s="32">
        <f>Table5[[#This Row],[pledged]]*Table5[[#This Row],[Exchange_rate]]</f>
        <v>6029</v>
      </c>
      <c r="R141" s="33">
        <f>ROUND(Table5[[#This Row],[Pledged_USD]],0)</f>
        <v>6029</v>
      </c>
      <c r="S141" s="35">
        <v>5600</v>
      </c>
      <c r="T141" s="35">
        <f>VALUE(Table5[[#This Row],[goal_USD]])</f>
        <v>5600</v>
      </c>
      <c r="U141" t="s">
        <v>347</v>
      </c>
      <c r="V141" t="s">
        <v>687</v>
      </c>
      <c r="W141" t="str">
        <f t="shared" si="34"/>
        <v>Boston, MA</v>
      </c>
      <c r="X141" t="s">
        <v>527</v>
      </c>
      <c r="Y141" t="str">
        <f t="shared" si="35"/>
        <v>United States</v>
      </c>
      <c r="Z141" t="s">
        <v>107</v>
      </c>
      <c r="AA141">
        <f t="shared" si="36"/>
        <v>54</v>
      </c>
      <c r="AB141" t="str">
        <f t="shared" si="37"/>
        <v>playing%20cards</v>
      </c>
      <c r="AC141" t="str">
        <f>SUBSTITUTE(Table5[[#This Row],[source_url_category]], "%20", " ")</f>
        <v>playing cards</v>
      </c>
      <c r="AD141" s="2" t="b">
        <v>0</v>
      </c>
      <c r="AE141" s="2" t="str">
        <f>LOWER(Table5[[#This Row],[staff_pick]])</f>
        <v>false</v>
      </c>
      <c r="AF141" t="s">
        <v>16</v>
      </c>
      <c r="AH141" s="19">
        <v>136578</v>
      </c>
      <c r="AI141" s="10"/>
    </row>
    <row r="142" spans="1:35" x14ac:dyDescent="0.2">
      <c r="A142" s="18">
        <v>1951658552</v>
      </c>
      <c r="B142" t="s">
        <v>193</v>
      </c>
      <c r="C142" t="str">
        <f>CONCATENATE(Table5[[#This Row],[id]], "-", PROPER(Table5[[#This Row],[name]]))</f>
        <v>1951658552-Twist Gaming - Year 4</v>
      </c>
      <c r="D142" s="1">
        <v>43732</v>
      </c>
      <c r="E142" s="1">
        <v>43735</v>
      </c>
      <c r="F142" s="1">
        <v>43765</v>
      </c>
      <c r="G142" s="18">
        <f t="shared" si="38"/>
        <v>30</v>
      </c>
      <c r="H142" s="18">
        <f t="shared" si="39"/>
        <v>5</v>
      </c>
      <c r="I142" s="18">
        <f t="shared" si="40"/>
        <v>9</v>
      </c>
      <c r="K142" s="28">
        <v>14</v>
      </c>
      <c r="L142" s="28">
        <f t="shared" si="33"/>
        <v>14</v>
      </c>
      <c r="M142" s="22">
        <f t="shared" si="41"/>
        <v>30</v>
      </c>
      <c r="N142" t="s">
        <v>15</v>
      </c>
      <c r="O142">
        <f>VLOOKUP(Table5[[#This Row],[currency]],Table3[],2)</f>
        <v>1</v>
      </c>
      <c r="P142" s="18">
        <v>479</v>
      </c>
      <c r="Q142" s="32">
        <f>Table5[[#This Row],[pledged]]*Table5[[#This Row],[Exchange_rate]]</f>
        <v>479</v>
      </c>
      <c r="R142" s="33">
        <f>ROUND(Table5[[#This Row],[Pledged_USD]],0)</f>
        <v>479</v>
      </c>
      <c r="S142" s="35">
        <v>1600</v>
      </c>
      <c r="T142" s="35">
        <f>VALUE(Table5[[#This Row],[goal_USD]])</f>
        <v>1600</v>
      </c>
      <c r="U142" t="s">
        <v>460</v>
      </c>
      <c r="V142" t="s">
        <v>696</v>
      </c>
      <c r="W142" t="str">
        <f t="shared" si="34"/>
        <v>Idaho Falls, ID</v>
      </c>
      <c r="X142" t="s">
        <v>527</v>
      </c>
      <c r="Y142" t="str">
        <f t="shared" si="35"/>
        <v>United States</v>
      </c>
      <c r="Z142" t="s">
        <v>107</v>
      </c>
      <c r="AA142">
        <f t="shared" si="36"/>
        <v>54</v>
      </c>
      <c r="AB142" t="str">
        <f t="shared" si="37"/>
        <v>playing%20cards</v>
      </c>
      <c r="AC142" t="str">
        <f>SUBSTITUTE(Table5[[#This Row],[source_url_category]], "%20", " ")</f>
        <v>playing cards</v>
      </c>
      <c r="AD142" s="2" t="b">
        <v>0</v>
      </c>
      <c r="AE142" s="2" t="str">
        <f>LOWER(Table5[[#This Row],[staff_pick]])</f>
        <v>false</v>
      </c>
      <c r="AF142" t="s">
        <v>17</v>
      </c>
      <c r="AH142" s="19">
        <v>136726</v>
      </c>
      <c r="AI142" s="10"/>
    </row>
    <row r="143" spans="1:35" x14ac:dyDescent="0.2">
      <c r="A143" s="18">
        <v>1975006817</v>
      </c>
      <c r="B143" t="s">
        <v>79</v>
      </c>
      <c r="C143" t="str">
        <f>CONCATENATE(Table5[[#This Row],[id]], "-", PROPER(Table5[[#This Row],[name]]))</f>
        <v>1975006817-Burgle Bros 2: The Casino Capers</v>
      </c>
      <c r="D143" s="1">
        <v>43734</v>
      </c>
      <c r="E143" s="1">
        <v>43754</v>
      </c>
      <c r="F143" s="1">
        <v>43775</v>
      </c>
      <c r="G143" s="18">
        <f t="shared" si="38"/>
        <v>21</v>
      </c>
      <c r="H143" s="18">
        <f t="shared" si="39"/>
        <v>3</v>
      </c>
      <c r="I143" s="18">
        <f t="shared" si="40"/>
        <v>10</v>
      </c>
      <c r="K143" s="29">
        <v>21735</v>
      </c>
      <c r="L143" s="29">
        <f t="shared" si="33"/>
        <v>21735</v>
      </c>
      <c r="M143" s="22">
        <f t="shared" si="41"/>
        <v>21</v>
      </c>
      <c r="N143" t="s">
        <v>15</v>
      </c>
      <c r="O143">
        <f>VLOOKUP(Table5[[#This Row],[currency]],Table3[],2)</f>
        <v>1</v>
      </c>
      <c r="P143" s="18">
        <v>3410084.24</v>
      </c>
      <c r="Q143" s="32">
        <f>Table5[[#This Row],[pledged]]*Table5[[#This Row],[Exchange_rate]]</f>
        <v>3410084.24</v>
      </c>
      <c r="R143" s="33">
        <f>ROUND(Table5[[#This Row],[Pledged_USD]],0)</f>
        <v>3410084</v>
      </c>
      <c r="S143" s="35">
        <v>250000</v>
      </c>
      <c r="T143" s="35">
        <f>VALUE(Table5[[#This Row],[goal_USD]])</f>
        <v>250000</v>
      </c>
      <c r="U143" t="s">
        <v>373</v>
      </c>
      <c r="V143" t="s">
        <v>675</v>
      </c>
      <c r="W143" t="str">
        <f t="shared" si="34"/>
        <v>Atlanta, GA</v>
      </c>
      <c r="X143" t="s">
        <v>527</v>
      </c>
      <c r="Y143" t="str">
        <f t="shared" si="35"/>
        <v>United States</v>
      </c>
      <c r="Z143" t="s">
        <v>38</v>
      </c>
      <c r="AA143">
        <f t="shared" si="36"/>
        <v>54</v>
      </c>
      <c r="AB143" t="str">
        <f t="shared" si="37"/>
        <v>tabletop%20games</v>
      </c>
      <c r="AC143" t="str">
        <f>SUBSTITUTE(Table5[[#This Row],[source_url_category]], "%20", " ")</f>
        <v>tabletop games</v>
      </c>
      <c r="AD143" s="2" t="b">
        <v>1</v>
      </c>
      <c r="AE143" s="2" t="str">
        <f>LOWER(Table5[[#This Row],[staff_pick]])</f>
        <v>true</v>
      </c>
      <c r="AF143" t="s">
        <v>16</v>
      </c>
      <c r="AH143" s="19">
        <v>139131</v>
      </c>
      <c r="AI143" s="10"/>
    </row>
    <row r="144" spans="1:35" x14ac:dyDescent="0.2">
      <c r="A144" s="18">
        <v>1977071313</v>
      </c>
      <c r="B144" t="s">
        <v>212</v>
      </c>
      <c r="C144" t="str">
        <f>CONCATENATE(Table5[[#This Row],[id]], "-", PROPER(Table5[[#This Row],[name]]))</f>
        <v>1977071313-Cigar Box Battle - Double Sided Battle Mats! New Designs!</v>
      </c>
      <c r="D144" s="1">
        <v>43734</v>
      </c>
      <c r="E144" s="1">
        <v>43734</v>
      </c>
      <c r="F144" s="1">
        <v>43764</v>
      </c>
      <c r="G144" s="18">
        <f t="shared" si="38"/>
        <v>30</v>
      </c>
      <c r="H144" s="18">
        <f t="shared" si="39"/>
        <v>4</v>
      </c>
      <c r="I144" s="18">
        <f t="shared" si="40"/>
        <v>9</v>
      </c>
      <c r="K144" s="28">
        <v>90</v>
      </c>
      <c r="L144" s="28">
        <f t="shared" si="33"/>
        <v>90</v>
      </c>
      <c r="M144" s="22">
        <f t="shared" si="41"/>
        <v>30</v>
      </c>
      <c r="N144" t="s">
        <v>34</v>
      </c>
      <c r="O144">
        <f>VLOOKUP(Table5[[#This Row],[currency]],Table3[],2)</f>
        <v>0.12847297999999999</v>
      </c>
      <c r="P144" s="18">
        <v>53416</v>
      </c>
      <c r="Q144" s="32">
        <f>Table5[[#This Row],[pledged]]*Table5[[#This Row],[Exchange_rate]]</f>
        <v>6862.5126996799991</v>
      </c>
      <c r="R144" s="33">
        <f>ROUND(Table5[[#This Row],[Pledged_USD]],0)</f>
        <v>6863</v>
      </c>
      <c r="S144" s="35">
        <v>48000</v>
      </c>
      <c r="T144" s="35">
        <f>VALUE(Table5[[#This Row],[goal_USD]])</f>
        <v>48000</v>
      </c>
      <c r="U144" t="s">
        <v>497</v>
      </c>
      <c r="V144" t="s">
        <v>697</v>
      </c>
      <c r="W144" t="str">
        <f t="shared" si="34"/>
        <v>Cheung Chau, Outlying Islands</v>
      </c>
      <c r="X144" t="s">
        <v>535</v>
      </c>
      <c r="Y144" t="str">
        <f t="shared" si="35"/>
        <v>Hong Kong</v>
      </c>
      <c r="Z144" t="s">
        <v>38</v>
      </c>
      <c r="AA144">
        <f t="shared" si="36"/>
        <v>54</v>
      </c>
      <c r="AB144" t="str">
        <f t="shared" si="37"/>
        <v>tabletop%20games</v>
      </c>
      <c r="AC144" t="str">
        <f>SUBSTITUTE(Table5[[#This Row],[source_url_category]], "%20", " ")</f>
        <v>tabletop games</v>
      </c>
      <c r="AD144" s="2" t="b">
        <v>0</v>
      </c>
      <c r="AE144" s="2" t="str">
        <f>LOWER(Table5[[#This Row],[staff_pick]])</f>
        <v>false</v>
      </c>
      <c r="AF144" t="s">
        <v>16</v>
      </c>
      <c r="AH144" s="19">
        <v>157049</v>
      </c>
      <c r="AI144" s="10"/>
    </row>
    <row r="145" spans="1:35" x14ac:dyDescent="0.2">
      <c r="A145" s="18">
        <v>1997832529</v>
      </c>
      <c r="B145" t="s">
        <v>130</v>
      </c>
      <c r="C145" t="str">
        <f>CONCATENATE(Table5[[#This Row],[id]], "-", PROPER(Table5[[#This Row],[name]]))</f>
        <v>1997832529-Wooden Exquisite Collection Playing Cards Display</v>
      </c>
      <c r="D145" s="1">
        <v>43739</v>
      </c>
      <c r="E145" s="1">
        <v>43766</v>
      </c>
      <c r="F145" s="1">
        <v>43772</v>
      </c>
      <c r="G145" s="18">
        <f t="shared" si="38"/>
        <v>6</v>
      </c>
      <c r="H145" s="18">
        <f t="shared" si="39"/>
        <v>1</v>
      </c>
      <c r="I145" s="18">
        <f t="shared" si="40"/>
        <v>10</v>
      </c>
      <c r="K145" s="29">
        <v>559</v>
      </c>
      <c r="L145" s="29">
        <f t="shared" si="33"/>
        <v>559</v>
      </c>
      <c r="M145" s="22">
        <f t="shared" si="41"/>
        <v>6</v>
      </c>
      <c r="N145" t="s">
        <v>19</v>
      </c>
      <c r="O145">
        <f>VLOOKUP(Table5[[#This Row],[currency]],Table3[],2)</f>
        <v>1.49576325</v>
      </c>
      <c r="P145" s="18">
        <v>36602</v>
      </c>
      <c r="Q145" s="32">
        <f>Table5[[#This Row],[pledged]]*Table5[[#This Row],[Exchange_rate]]</f>
        <v>54747.926476499997</v>
      </c>
      <c r="R145" s="33">
        <f>ROUND(Table5[[#This Row],[Pledged_USD]],0)</f>
        <v>54748</v>
      </c>
      <c r="S145" s="35">
        <v>4000</v>
      </c>
      <c r="T145" s="35">
        <f>VALUE(Table5[[#This Row],[goal_USD]])</f>
        <v>4000</v>
      </c>
      <c r="U145" t="s">
        <v>423</v>
      </c>
      <c r="V145" t="s">
        <v>650</v>
      </c>
      <c r="W145" t="str">
        <f t="shared" si="34"/>
        <v>County Durham, England</v>
      </c>
      <c r="X145" t="s">
        <v>526</v>
      </c>
      <c r="Y145" t="str">
        <f t="shared" si="35"/>
        <v>United Kingdom</v>
      </c>
      <c r="Z145" t="s">
        <v>38</v>
      </c>
      <c r="AA145">
        <f t="shared" si="36"/>
        <v>54</v>
      </c>
      <c r="AB145" t="str">
        <f t="shared" si="37"/>
        <v>tabletop%20games</v>
      </c>
      <c r="AC145" t="str">
        <f>SUBSTITUTE(Table5[[#This Row],[source_url_category]], "%20", " ")</f>
        <v>tabletop games</v>
      </c>
      <c r="AD145" s="2" t="b">
        <v>0</v>
      </c>
      <c r="AE145" s="2" t="str">
        <f>LOWER(Table5[[#This Row],[staff_pick]])</f>
        <v>false</v>
      </c>
      <c r="AF145" t="s">
        <v>16</v>
      </c>
      <c r="AH145" s="19">
        <v>166304</v>
      </c>
      <c r="AI145" s="10"/>
    </row>
    <row r="146" spans="1:35" x14ac:dyDescent="0.2">
      <c r="A146" s="18">
        <v>2001270294</v>
      </c>
      <c r="B146" t="s">
        <v>222</v>
      </c>
      <c r="C146" t="str">
        <f>CONCATENATE(Table5[[#This Row],[id]], "-", PROPER(Table5[[#This Row],[name]]))</f>
        <v>2001270294-Double Cards - Cards That Give You Choices</v>
      </c>
      <c r="D146" s="1">
        <v>43741</v>
      </c>
      <c r="E146" s="1">
        <v>43767</v>
      </c>
      <c r="F146" s="1">
        <v>43785</v>
      </c>
      <c r="G146" s="18">
        <f t="shared" si="38"/>
        <v>18</v>
      </c>
      <c r="H146" s="18">
        <f t="shared" si="39"/>
        <v>2</v>
      </c>
      <c r="I146" s="18">
        <f t="shared" si="40"/>
        <v>10</v>
      </c>
      <c r="K146" s="28">
        <v>428</v>
      </c>
      <c r="L146" s="28">
        <f t="shared" si="33"/>
        <v>428</v>
      </c>
      <c r="M146" s="22">
        <f t="shared" si="41"/>
        <v>18</v>
      </c>
      <c r="N146" t="s">
        <v>15</v>
      </c>
      <c r="O146">
        <f>VLOOKUP(Table5[[#This Row],[currency]],Table3[],2)</f>
        <v>1</v>
      </c>
      <c r="P146" s="18">
        <v>23347</v>
      </c>
      <c r="Q146" s="32">
        <f>Table5[[#This Row],[pledged]]*Table5[[#This Row],[Exchange_rate]]</f>
        <v>23347</v>
      </c>
      <c r="R146" s="33">
        <f>ROUND(Table5[[#This Row],[Pledged_USD]],0)</f>
        <v>23347</v>
      </c>
      <c r="S146" s="35">
        <v>26000</v>
      </c>
      <c r="T146" s="35">
        <f>VALUE(Table5[[#This Row],[goal_USD]])</f>
        <v>26000</v>
      </c>
      <c r="U146" t="s">
        <v>450</v>
      </c>
      <c r="V146" t="s">
        <v>668</v>
      </c>
      <c r="W146" t="str">
        <f t="shared" si="34"/>
        <v>Longview, TX</v>
      </c>
      <c r="X146" t="s">
        <v>527</v>
      </c>
      <c r="Y146" t="str">
        <f t="shared" si="35"/>
        <v>United States</v>
      </c>
      <c r="Z146" t="s">
        <v>38</v>
      </c>
      <c r="AA146">
        <f t="shared" si="36"/>
        <v>54</v>
      </c>
      <c r="AB146" t="str">
        <f t="shared" si="37"/>
        <v>tabletop%20games</v>
      </c>
      <c r="AC146" t="str">
        <f>SUBSTITUTE(Table5[[#This Row],[source_url_category]], "%20", " ")</f>
        <v>tabletop games</v>
      </c>
      <c r="AD146" s="2" t="b">
        <v>0</v>
      </c>
      <c r="AE146" s="2" t="str">
        <f>LOWER(Table5[[#This Row],[staff_pick]])</f>
        <v>false</v>
      </c>
      <c r="AF146" t="s">
        <v>20</v>
      </c>
      <c r="AH146" s="19">
        <v>265211.90999999997</v>
      </c>
      <c r="AI146" s="10"/>
    </row>
    <row r="147" spans="1:35" x14ac:dyDescent="0.2">
      <c r="A147" s="18">
        <v>2001427184</v>
      </c>
      <c r="B147" t="s">
        <v>208</v>
      </c>
      <c r="C147" t="str">
        <f>CONCATENATE(Table5[[#This Row],[id]], "-", PROPER(Table5[[#This Row],[name]]))</f>
        <v>2001427184-The 1 Dollar Campaign: Break Kickstarter</v>
      </c>
      <c r="D147" s="1">
        <v>43741</v>
      </c>
      <c r="E147" s="1">
        <v>43749</v>
      </c>
      <c r="F147" s="1">
        <v>43779</v>
      </c>
      <c r="G147" s="18">
        <f t="shared" si="38"/>
        <v>30</v>
      </c>
      <c r="H147" s="18">
        <f t="shared" si="39"/>
        <v>5</v>
      </c>
      <c r="I147" s="18">
        <f t="shared" si="40"/>
        <v>10</v>
      </c>
      <c r="K147" s="29">
        <v>90</v>
      </c>
      <c r="L147" s="29">
        <f t="shared" si="33"/>
        <v>90</v>
      </c>
      <c r="M147" s="22">
        <f t="shared" si="41"/>
        <v>30</v>
      </c>
      <c r="N147" t="s">
        <v>18</v>
      </c>
      <c r="O147">
        <f>VLOOKUP(Table5[[#This Row],[currency]],Table3[],2)</f>
        <v>1.16955371</v>
      </c>
      <c r="P147" s="18">
        <v>4212</v>
      </c>
      <c r="Q147" s="32">
        <f>Table5[[#This Row],[pledged]]*Table5[[#This Row],[Exchange_rate]]</f>
        <v>4926.1602265199999</v>
      </c>
      <c r="R147" s="33">
        <f>ROUND(Table5[[#This Row],[Pledged_USD]],0)</f>
        <v>4926</v>
      </c>
      <c r="S147" s="35">
        <v>3000</v>
      </c>
      <c r="T147" s="35">
        <f>VALUE(Table5[[#This Row],[goal_USD]])</f>
        <v>3000</v>
      </c>
      <c r="U147" t="s">
        <v>507</v>
      </c>
      <c r="V147" t="s">
        <v>646</v>
      </c>
      <c r="W147" t="str">
        <f t="shared" si="34"/>
        <v>Porto Mantovano, Lombardy</v>
      </c>
      <c r="X147" t="s">
        <v>533</v>
      </c>
      <c r="Y147" t="str">
        <f t="shared" si="35"/>
        <v>Italy</v>
      </c>
      <c r="Z147" t="s">
        <v>38</v>
      </c>
      <c r="AA147">
        <f t="shared" si="36"/>
        <v>54</v>
      </c>
      <c r="AB147" t="str">
        <f t="shared" si="37"/>
        <v>tabletop%20games</v>
      </c>
      <c r="AC147" t="str">
        <f>SUBSTITUTE(Table5[[#This Row],[source_url_category]], "%20", " ")</f>
        <v>tabletop games</v>
      </c>
      <c r="AD147" s="2" t="b">
        <v>0</v>
      </c>
      <c r="AE147" s="2" t="str">
        <f>LOWER(Table5[[#This Row],[staff_pick]])</f>
        <v>false</v>
      </c>
      <c r="AF147" t="s">
        <v>16</v>
      </c>
      <c r="AH147" s="19">
        <v>358133</v>
      </c>
      <c r="AI147" s="10"/>
    </row>
    <row r="148" spans="1:35" x14ac:dyDescent="0.2">
      <c r="A148" s="18">
        <v>2017245526</v>
      </c>
      <c r="B148" t="s">
        <v>230</v>
      </c>
      <c r="C148" t="str">
        <f>CONCATENATE(Table5[[#This Row],[id]], "-", PROPER(Table5[[#This Row],[name]]))</f>
        <v>2017245526-Emberlord</v>
      </c>
      <c r="D148" s="1">
        <v>43742</v>
      </c>
      <c r="E148" s="1">
        <v>43745</v>
      </c>
      <c r="F148" s="1">
        <v>43775</v>
      </c>
      <c r="G148" s="18">
        <f t="shared" si="38"/>
        <v>30</v>
      </c>
      <c r="H148" s="18">
        <f t="shared" si="39"/>
        <v>1</v>
      </c>
      <c r="I148" s="18">
        <f t="shared" si="40"/>
        <v>10</v>
      </c>
      <c r="K148" s="28">
        <v>133</v>
      </c>
      <c r="L148" s="28">
        <f t="shared" si="33"/>
        <v>133</v>
      </c>
      <c r="M148" s="22">
        <f t="shared" si="41"/>
        <v>30</v>
      </c>
      <c r="N148" t="s">
        <v>15</v>
      </c>
      <c r="O148">
        <f>VLOOKUP(Table5[[#This Row],[currency]],Table3[],2)</f>
        <v>1</v>
      </c>
      <c r="P148" s="18">
        <v>3850</v>
      </c>
      <c r="Q148" s="32">
        <f>Table5[[#This Row],[pledged]]*Table5[[#This Row],[Exchange_rate]]</f>
        <v>3850</v>
      </c>
      <c r="R148" s="33">
        <f>ROUND(Table5[[#This Row],[Pledged_USD]],0)</f>
        <v>3850</v>
      </c>
      <c r="S148" s="35">
        <v>3000</v>
      </c>
      <c r="T148" s="35">
        <f>VALUE(Table5[[#This Row],[goal_USD]])</f>
        <v>3000</v>
      </c>
      <c r="U148" t="s">
        <v>372</v>
      </c>
      <c r="V148" t="s">
        <v>651</v>
      </c>
      <c r="W148" t="str">
        <f t="shared" si="34"/>
        <v>Seattle, WA</v>
      </c>
      <c r="X148" t="s">
        <v>527</v>
      </c>
      <c r="Y148" t="str">
        <f t="shared" si="35"/>
        <v>United States</v>
      </c>
      <c r="Z148" t="s">
        <v>38</v>
      </c>
      <c r="AA148">
        <f t="shared" si="36"/>
        <v>54</v>
      </c>
      <c r="AB148" t="str">
        <f t="shared" si="37"/>
        <v>tabletop%20games</v>
      </c>
      <c r="AC148" t="str">
        <f>SUBSTITUTE(Table5[[#This Row],[source_url_category]], "%20", " ")</f>
        <v>tabletop games</v>
      </c>
      <c r="AD148" s="2" t="b">
        <v>0</v>
      </c>
      <c r="AE148" s="2" t="str">
        <f>LOWER(Table5[[#This Row],[staff_pick]])</f>
        <v>false</v>
      </c>
      <c r="AF148" t="s">
        <v>16</v>
      </c>
      <c r="AH148" s="19">
        <v>389552</v>
      </c>
      <c r="AI148" s="10"/>
    </row>
    <row r="149" spans="1:35" x14ac:dyDescent="0.2">
      <c r="A149" s="18">
        <v>2033432418</v>
      </c>
      <c r="B149" t="s">
        <v>149</v>
      </c>
      <c r="C149" t="str">
        <f>CONCATENATE(Table5[[#This Row],[id]], "-", PROPER(Table5[[#This Row],[name]]))</f>
        <v>2033432418-Prowlers &amp; Paragons Ultimate Edition</v>
      </c>
      <c r="D149" s="1">
        <v>43746</v>
      </c>
      <c r="E149" s="1">
        <v>43776</v>
      </c>
      <c r="F149" s="1">
        <v>43803</v>
      </c>
      <c r="G149" s="18">
        <f t="shared" si="38"/>
        <v>27</v>
      </c>
      <c r="H149" s="18">
        <f t="shared" si="39"/>
        <v>4</v>
      </c>
      <c r="I149" s="18">
        <f t="shared" si="40"/>
        <v>11</v>
      </c>
      <c r="K149" s="29">
        <v>135</v>
      </c>
      <c r="L149" s="29">
        <f t="shared" si="33"/>
        <v>135</v>
      </c>
      <c r="M149" s="22">
        <f t="shared" si="41"/>
        <v>27</v>
      </c>
      <c r="N149" t="s">
        <v>15</v>
      </c>
      <c r="O149">
        <f>VLOOKUP(Table5[[#This Row],[currency]],Table3[],2)</f>
        <v>1</v>
      </c>
      <c r="P149" s="18">
        <v>4951</v>
      </c>
      <c r="Q149" s="32">
        <f>Table5[[#This Row],[pledged]]*Table5[[#This Row],[Exchange_rate]]</f>
        <v>4951</v>
      </c>
      <c r="R149" s="33">
        <f>ROUND(Table5[[#This Row],[Pledged_USD]],0)</f>
        <v>4951</v>
      </c>
      <c r="S149" s="35">
        <v>500</v>
      </c>
      <c r="T149" s="35">
        <f>VALUE(Table5[[#This Row],[goal_USD]])</f>
        <v>500</v>
      </c>
      <c r="U149" t="s">
        <v>353</v>
      </c>
      <c r="V149" t="s">
        <v>23</v>
      </c>
      <c r="W149" t="str">
        <f t="shared" si="34"/>
        <v>Burbank, CA</v>
      </c>
      <c r="X149" t="s">
        <v>527</v>
      </c>
      <c r="Y149" t="str">
        <f t="shared" si="35"/>
        <v>United States</v>
      </c>
      <c r="Z149" t="s">
        <v>38</v>
      </c>
      <c r="AA149">
        <f t="shared" si="36"/>
        <v>54</v>
      </c>
      <c r="AB149" t="str">
        <f t="shared" si="37"/>
        <v>tabletop%20games</v>
      </c>
      <c r="AC149" t="str">
        <f>SUBSTITUTE(Table5[[#This Row],[source_url_category]], "%20", " ")</f>
        <v>tabletop games</v>
      </c>
      <c r="AD149" s="2" t="b">
        <v>0</v>
      </c>
      <c r="AE149" s="2" t="str">
        <f>LOWER(Table5[[#This Row],[staff_pick]])</f>
        <v>false</v>
      </c>
      <c r="AF149" t="s">
        <v>20</v>
      </c>
      <c r="AH149" s="19">
        <v>431368.21</v>
      </c>
      <c r="AI149" s="10"/>
    </row>
    <row r="150" spans="1:35" x14ac:dyDescent="0.2">
      <c r="A150" s="18">
        <v>2034458156</v>
      </c>
      <c r="B150" t="s">
        <v>52</v>
      </c>
      <c r="C150" t="str">
        <f>CONCATENATE(Table5[[#This Row],[id]], "-", PROPER(Table5[[#This Row],[name]]))</f>
        <v>2034458156-Magic Trick Science Tutoring Package, Fool Your Fellow!</v>
      </c>
      <c r="D150" s="1">
        <v>43753</v>
      </c>
      <c r="E150" s="1">
        <v>43769</v>
      </c>
      <c r="F150" s="1">
        <v>43784</v>
      </c>
      <c r="G150" s="18">
        <f t="shared" si="38"/>
        <v>15</v>
      </c>
      <c r="H150" s="18">
        <f t="shared" si="39"/>
        <v>4</v>
      </c>
      <c r="I150" s="18">
        <f t="shared" si="40"/>
        <v>10</v>
      </c>
      <c r="K150" s="28">
        <v>832</v>
      </c>
      <c r="L150" s="28">
        <f t="shared" si="33"/>
        <v>832</v>
      </c>
      <c r="M150" s="22">
        <f t="shared" si="41"/>
        <v>15</v>
      </c>
      <c r="N150" t="s">
        <v>15</v>
      </c>
      <c r="O150">
        <f>VLOOKUP(Table5[[#This Row],[currency]],Table3[],2)</f>
        <v>1</v>
      </c>
      <c r="P150" s="18">
        <v>52469</v>
      </c>
      <c r="Q150" s="32">
        <f>Table5[[#This Row],[pledged]]*Table5[[#This Row],[Exchange_rate]]</f>
        <v>52469</v>
      </c>
      <c r="R150" s="33">
        <f>ROUND(Table5[[#This Row],[Pledged_USD]],0)</f>
        <v>52469</v>
      </c>
      <c r="S150" s="35">
        <v>25000</v>
      </c>
      <c r="T150" s="35">
        <f>VALUE(Table5[[#This Row],[goal_USD]])</f>
        <v>25000</v>
      </c>
      <c r="U150" t="s">
        <v>429</v>
      </c>
      <c r="V150" t="s">
        <v>687</v>
      </c>
      <c r="W150" t="str">
        <f t="shared" si="34"/>
        <v>Marlborough, MA</v>
      </c>
      <c r="X150" t="s">
        <v>527</v>
      </c>
      <c r="Y150" t="str">
        <f t="shared" si="35"/>
        <v>United States</v>
      </c>
      <c r="Z150" t="s">
        <v>38</v>
      </c>
      <c r="AA150">
        <f t="shared" si="36"/>
        <v>54</v>
      </c>
      <c r="AB150" t="str">
        <f t="shared" si="37"/>
        <v>tabletop%20games</v>
      </c>
      <c r="AC150" t="str">
        <f>SUBSTITUTE(Table5[[#This Row],[source_url_category]], "%20", " ")</f>
        <v>tabletop games</v>
      </c>
      <c r="AD150" s="2" t="b">
        <v>1</v>
      </c>
      <c r="AE150" s="2" t="str">
        <f>LOWER(Table5[[#This Row],[staff_pick]])</f>
        <v>true</v>
      </c>
      <c r="AF150" t="s">
        <v>20</v>
      </c>
      <c r="AH150" s="19">
        <v>528786</v>
      </c>
      <c r="AI150" s="10"/>
    </row>
    <row r="151" spans="1:35" x14ac:dyDescent="0.2">
      <c r="A151" s="18">
        <v>2061303985</v>
      </c>
      <c r="B151" t="s">
        <v>91</v>
      </c>
      <c r="C151" t="str">
        <f>CONCATENATE(Table5[[#This Row],[id]], "-", PROPER(Table5[[#This Row],[name]]))</f>
        <v>2061303985-Drunko Card - Game Nights Now Officially Forgettable</v>
      </c>
      <c r="D151" s="1">
        <v>43754</v>
      </c>
      <c r="E151" s="1">
        <v>43783</v>
      </c>
      <c r="F151" s="1">
        <v>43813</v>
      </c>
      <c r="G151" s="18">
        <f t="shared" si="38"/>
        <v>30</v>
      </c>
      <c r="H151" s="18">
        <f t="shared" si="39"/>
        <v>4</v>
      </c>
      <c r="I151" s="18">
        <f t="shared" si="40"/>
        <v>11</v>
      </c>
      <c r="K151" s="29">
        <v>3</v>
      </c>
      <c r="L151" s="29">
        <f t="shared" si="33"/>
        <v>3</v>
      </c>
      <c r="M151" s="22">
        <f t="shared" si="41"/>
        <v>30</v>
      </c>
      <c r="N151" t="s">
        <v>15</v>
      </c>
      <c r="O151">
        <f>VLOOKUP(Table5[[#This Row],[currency]],Table3[],2)</f>
        <v>1</v>
      </c>
      <c r="P151" s="18">
        <v>46</v>
      </c>
      <c r="Q151" s="32">
        <f>Table5[[#This Row],[pledged]]*Table5[[#This Row],[Exchange_rate]]</f>
        <v>46</v>
      </c>
      <c r="R151" s="33">
        <f>ROUND(Table5[[#This Row],[Pledged_USD]],0)</f>
        <v>46</v>
      </c>
      <c r="S151" s="35">
        <v>10000</v>
      </c>
      <c r="T151" s="35">
        <f>VALUE(Table5[[#This Row],[goal_USD]])</f>
        <v>10000</v>
      </c>
      <c r="U151" t="s">
        <v>362</v>
      </c>
      <c r="V151" t="s">
        <v>654</v>
      </c>
      <c r="W151" t="str">
        <f t="shared" si="34"/>
        <v>Philadelphia, PA</v>
      </c>
      <c r="X151" t="s">
        <v>527</v>
      </c>
      <c r="Y151" t="str">
        <f t="shared" si="35"/>
        <v>United States</v>
      </c>
      <c r="Z151" t="s">
        <v>107</v>
      </c>
      <c r="AA151">
        <f t="shared" si="36"/>
        <v>54</v>
      </c>
      <c r="AB151" t="str">
        <f t="shared" si="37"/>
        <v>playing%20cards</v>
      </c>
      <c r="AC151" t="str">
        <f>SUBSTITUTE(Table5[[#This Row],[source_url_category]], "%20", " ")</f>
        <v>playing cards</v>
      </c>
      <c r="AD151" s="2" t="b">
        <v>0</v>
      </c>
      <c r="AE151" s="2" t="str">
        <f>LOWER(Table5[[#This Row],[staff_pick]])</f>
        <v>false</v>
      </c>
      <c r="AF151" t="s">
        <v>20</v>
      </c>
      <c r="AH151" s="19">
        <v>1367901.33</v>
      </c>
      <c r="AI151" s="10"/>
    </row>
    <row r="152" spans="1:35" x14ac:dyDescent="0.2">
      <c r="A152" s="18">
        <v>2063533927</v>
      </c>
      <c r="B152" t="s">
        <v>140</v>
      </c>
      <c r="C152" t="str">
        <f>CONCATENATE(Table5[[#This Row],[id]], "-", PROPER(Table5[[#This Row],[name]]))</f>
        <v>2063533927-Highlords Firstborn Playing Cards - Volume 1 Fantasy Series</v>
      </c>
      <c r="D152" s="1">
        <v>43760</v>
      </c>
      <c r="E152" s="1">
        <v>43782</v>
      </c>
      <c r="F152" s="1">
        <v>43815</v>
      </c>
      <c r="G152" s="18">
        <f t="shared" si="38"/>
        <v>33</v>
      </c>
      <c r="H152" s="18">
        <f t="shared" si="39"/>
        <v>3</v>
      </c>
      <c r="I152" s="18">
        <f t="shared" si="40"/>
        <v>11</v>
      </c>
      <c r="K152" s="28">
        <v>2</v>
      </c>
      <c r="L152" s="28">
        <f t="shared" si="33"/>
        <v>2</v>
      </c>
      <c r="M152" s="22">
        <f t="shared" si="41"/>
        <v>33</v>
      </c>
      <c r="N152" t="s">
        <v>15</v>
      </c>
      <c r="O152">
        <f>VLOOKUP(Table5[[#This Row],[currency]],Table3[],2)</f>
        <v>1</v>
      </c>
      <c r="P152" s="18">
        <v>155</v>
      </c>
      <c r="Q152" s="32">
        <f>Table5[[#This Row],[pledged]]*Table5[[#This Row],[Exchange_rate]]</f>
        <v>155</v>
      </c>
      <c r="R152" s="33">
        <f>ROUND(Table5[[#This Row],[Pledged_USD]],0)</f>
        <v>155</v>
      </c>
      <c r="S152" s="35">
        <v>7200</v>
      </c>
      <c r="T152" s="35">
        <f>VALUE(Table5[[#This Row],[goal_USD]])</f>
        <v>7200</v>
      </c>
      <c r="U152" t="s">
        <v>495</v>
      </c>
      <c r="V152" t="s">
        <v>698</v>
      </c>
      <c r="W152" t="str">
        <f t="shared" si="34"/>
        <v>Karvin√°, Moravian-Silesian Region</v>
      </c>
      <c r="X152" t="s">
        <v>540</v>
      </c>
      <c r="Y152" t="str">
        <f t="shared" si="35"/>
        <v>Czech Republic</v>
      </c>
      <c r="Z152" t="s">
        <v>38</v>
      </c>
      <c r="AA152">
        <f t="shared" si="36"/>
        <v>54</v>
      </c>
      <c r="AB152" t="str">
        <f t="shared" si="37"/>
        <v>tabletop%20games</v>
      </c>
      <c r="AC152" t="str">
        <f>SUBSTITUTE(Table5[[#This Row],[source_url_category]], "%20", " ")</f>
        <v>tabletop games</v>
      </c>
      <c r="AD152" s="2" t="b">
        <v>0</v>
      </c>
      <c r="AE152" s="2" t="str">
        <f>LOWER(Table5[[#This Row],[staff_pick]])</f>
        <v>false</v>
      </c>
      <c r="AF152" t="s">
        <v>20</v>
      </c>
      <c r="AH152" s="19">
        <v>3410084.24</v>
      </c>
      <c r="AI152" s="10"/>
    </row>
    <row r="153" spans="1:35" x14ac:dyDescent="0.2">
      <c r="A153" s="18">
        <v>2131317332</v>
      </c>
      <c r="B153" t="s">
        <v>115</v>
      </c>
      <c r="C153" t="str">
        <f>CONCATENATE(Table5[[#This Row],[id]], "-", PROPER(Table5[[#This Row],[name]]))</f>
        <v>2131317332-Open Cards, Open Hearts</v>
      </c>
      <c r="D153" s="1">
        <v>43778</v>
      </c>
      <c r="E153" s="1">
        <v>43782</v>
      </c>
      <c r="F153" s="1">
        <v>43796</v>
      </c>
      <c r="G153" s="18">
        <f t="shared" si="38"/>
        <v>14</v>
      </c>
      <c r="H153" s="18">
        <f t="shared" si="39"/>
        <v>3</v>
      </c>
      <c r="I153" s="18">
        <f t="shared" si="40"/>
        <v>11</v>
      </c>
      <c r="K153" s="29">
        <v>3</v>
      </c>
      <c r="L153" s="29">
        <f t="shared" si="33"/>
        <v>3</v>
      </c>
      <c r="M153" s="22">
        <f t="shared" si="41"/>
        <v>14</v>
      </c>
      <c r="N153" t="s">
        <v>19</v>
      </c>
      <c r="O153">
        <f>VLOOKUP(Table5[[#This Row],[currency]],Table3[],2)</f>
        <v>1.49576325</v>
      </c>
      <c r="P153" s="18">
        <v>21</v>
      </c>
      <c r="Q153" s="32">
        <f>Table5[[#This Row],[pledged]]*Table5[[#This Row],[Exchange_rate]]</f>
        <v>31.411028250000001</v>
      </c>
      <c r="R153" s="33">
        <f>ROUND(Table5[[#This Row],[Pledged_USD]],0)</f>
        <v>31</v>
      </c>
      <c r="S153" s="35">
        <v>200</v>
      </c>
      <c r="T153" s="35">
        <f>VALUE(Table5[[#This Row],[goal_USD]])</f>
        <v>200</v>
      </c>
      <c r="U153" t="s">
        <v>437</v>
      </c>
      <c r="V153" t="s">
        <v>650</v>
      </c>
      <c r="W153" t="str">
        <f t="shared" si="34"/>
        <v>Northampton, England</v>
      </c>
      <c r="X153" t="s">
        <v>526</v>
      </c>
      <c r="Y153" t="str">
        <f t="shared" si="35"/>
        <v>United Kingdom</v>
      </c>
      <c r="Z153" t="s">
        <v>38</v>
      </c>
      <c r="AA153">
        <f t="shared" si="36"/>
        <v>54</v>
      </c>
      <c r="AB153" t="str">
        <f t="shared" si="37"/>
        <v>tabletop%20games</v>
      </c>
      <c r="AC153" t="str">
        <f>SUBSTITUTE(Table5[[#This Row],[source_url_category]], "%20", " ")</f>
        <v>tabletop games</v>
      </c>
      <c r="AD153" s="2" t="b">
        <v>0</v>
      </c>
      <c r="AE153" s="2" t="str">
        <f>LOWER(Table5[[#This Row],[staff_pick]])</f>
        <v>false</v>
      </c>
      <c r="AF153" t="s">
        <v>20</v>
      </c>
      <c r="AH153" s="19">
        <v>3542035.74</v>
      </c>
      <c r="AI153" s="10"/>
    </row>
  </sheetData>
  <sortState xmlns:xlrd2="http://schemas.microsoft.com/office/spreadsheetml/2017/richdata2" ref="A2:B153">
    <sortCondition ref="A7"/>
  </sortState>
  <mergeCells count="1">
    <mergeCell ref="AK1:AL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E84A-E767-C646-A74E-DB291547D321}">
  <dimension ref="A1:AA153"/>
  <sheetViews>
    <sheetView tabSelected="1" topLeftCell="P1" workbookViewId="0">
      <selection activeCell="T19" sqref="T19"/>
    </sheetView>
  </sheetViews>
  <sheetFormatPr baseColWidth="10" defaultRowHeight="16" x14ac:dyDescent="0.2"/>
  <cols>
    <col min="1" max="1" width="66.5" style="6" bestFit="1" customWidth="1"/>
    <col min="2" max="2" width="12.33203125" style="1" customWidth="1"/>
    <col min="3" max="3" width="13.5" style="1" customWidth="1"/>
    <col min="4" max="4" width="10.83203125" style="1" bestFit="1" customWidth="1"/>
    <col min="5" max="5" width="15.83203125" style="18" customWidth="1"/>
    <col min="6" max="6" width="17.33203125" style="18" customWidth="1"/>
    <col min="7" max="7" width="19.83203125" style="18" customWidth="1"/>
    <col min="8" max="8" width="15.1640625" style="18" customWidth="1"/>
    <col min="9" max="9" width="20.83203125" style="18" customWidth="1"/>
    <col min="10" max="10" width="10.33203125" customWidth="1"/>
    <col min="11" max="11" width="15.5" style="30" customWidth="1"/>
    <col min="12" max="12" width="15.83203125" style="8" customWidth="1"/>
    <col min="13" max="13" width="14" style="8" bestFit="1" customWidth="1"/>
    <col min="14" max="14" width="33" style="6" bestFit="1" customWidth="1"/>
    <col min="15" max="15" width="14.33203125" style="6" bestFit="1" customWidth="1"/>
    <col min="16" max="16" width="14" style="6" bestFit="1" customWidth="1"/>
    <col min="17" max="17" width="17.1640625" customWidth="1"/>
    <col min="18" max="18" width="9.5" bestFit="1" customWidth="1"/>
    <col min="21" max="21" width="25.1640625" bestFit="1" customWidth="1"/>
    <col min="22" max="22" width="12.33203125" bestFit="1" customWidth="1"/>
    <col min="24" max="24" width="25.1640625" bestFit="1" customWidth="1"/>
    <col min="25" max="25" width="13.5" bestFit="1" customWidth="1"/>
    <col min="26" max="28" width="11.33203125"/>
    <col min="29" max="29" width="14.33203125" bestFit="1" customWidth="1"/>
    <col min="30" max="30" width="14.5" bestFit="1" customWidth="1"/>
    <col min="31" max="31" width="8.1640625" bestFit="1" customWidth="1"/>
    <col min="32" max="32" width="12.33203125" bestFit="1" customWidth="1"/>
  </cols>
  <sheetData>
    <row r="1" spans="1:27" ht="17" thickTop="1" x14ac:dyDescent="0.2">
      <c r="A1" s="6" t="s">
        <v>1069</v>
      </c>
      <c r="B1" s="1" t="s">
        <v>0</v>
      </c>
      <c r="C1" s="1" t="s">
        <v>1</v>
      </c>
      <c r="D1" s="1" t="s">
        <v>2</v>
      </c>
      <c r="E1" s="18" t="s">
        <v>746</v>
      </c>
      <c r="F1" s="18" t="s">
        <v>747</v>
      </c>
      <c r="G1" s="18" t="s">
        <v>748</v>
      </c>
      <c r="H1" s="18" t="s">
        <v>4</v>
      </c>
      <c r="I1" s="18" t="s">
        <v>745</v>
      </c>
      <c r="J1" t="s">
        <v>3</v>
      </c>
      <c r="K1" s="30" t="s">
        <v>749</v>
      </c>
      <c r="L1" s="8" t="s">
        <v>750</v>
      </c>
      <c r="M1" s="8" t="s">
        <v>645</v>
      </c>
      <c r="N1" s="6" t="s">
        <v>753</v>
      </c>
      <c r="O1" s="6" t="s">
        <v>1070</v>
      </c>
      <c r="P1" s="6" t="s">
        <v>1071</v>
      </c>
      <c r="Q1" t="s">
        <v>758</v>
      </c>
      <c r="R1" t="s">
        <v>336</v>
      </c>
      <c r="U1" s="51" t="s">
        <v>780</v>
      </c>
      <c r="V1" s="50"/>
      <c r="X1" s="40" t="s">
        <v>773</v>
      </c>
      <c r="Y1" s="40" t="s">
        <v>774</v>
      </c>
      <c r="Z1" s="40" t="s">
        <v>775</v>
      </c>
      <c r="AA1" s="40" t="s">
        <v>770</v>
      </c>
    </row>
    <row r="2" spans="1:27" x14ac:dyDescent="0.2">
      <c r="A2" s="6" t="s">
        <v>781</v>
      </c>
      <c r="B2" s="1">
        <v>43521</v>
      </c>
      <c r="C2" s="1">
        <v>43549</v>
      </c>
      <c r="D2" s="1">
        <v>43609</v>
      </c>
      <c r="E2" s="18">
        <v>60</v>
      </c>
      <c r="F2" s="18">
        <v>1</v>
      </c>
      <c r="G2" s="18">
        <v>3</v>
      </c>
      <c r="H2" s="18">
        <v>138</v>
      </c>
      <c r="I2" s="18">
        <v>60</v>
      </c>
      <c r="J2" t="s">
        <v>15</v>
      </c>
      <c r="K2" s="30">
        <v>1</v>
      </c>
      <c r="L2" s="8">
        <v>15047</v>
      </c>
      <c r="M2" s="8">
        <v>15000</v>
      </c>
      <c r="N2" s="6" t="s">
        <v>933</v>
      </c>
      <c r="O2" s="6" t="s">
        <v>513</v>
      </c>
      <c r="P2" s="6" t="s">
        <v>1062</v>
      </c>
      <c r="Q2" t="s">
        <v>1067</v>
      </c>
      <c r="R2" t="s">
        <v>16</v>
      </c>
      <c r="U2" s="43" t="s">
        <v>759</v>
      </c>
      <c r="V2" s="36">
        <v>608</v>
      </c>
      <c r="X2" s="41" t="s">
        <v>1061</v>
      </c>
      <c r="Y2" s="41">
        <v>3</v>
      </c>
      <c r="Z2" s="41">
        <v>26666</v>
      </c>
      <c r="AA2" s="41">
        <v>8888.6666666666661</v>
      </c>
    </row>
    <row r="3" spans="1:27" x14ac:dyDescent="0.2">
      <c r="A3" s="6" t="s">
        <v>782</v>
      </c>
      <c r="B3" s="1">
        <v>43478</v>
      </c>
      <c r="C3" s="1">
        <v>43491</v>
      </c>
      <c r="D3" s="1">
        <v>43526</v>
      </c>
      <c r="E3" s="18">
        <v>35</v>
      </c>
      <c r="F3" s="18">
        <v>6</v>
      </c>
      <c r="G3" s="18">
        <v>1</v>
      </c>
      <c r="H3" s="18">
        <v>1</v>
      </c>
      <c r="I3" s="18">
        <v>35</v>
      </c>
      <c r="J3" t="s">
        <v>15</v>
      </c>
      <c r="K3" s="30">
        <v>1</v>
      </c>
      <c r="L3" s="8">
        <v>1</v>
      </c>
      <c r="M3" s="8">
        <v>28000</v>
      </c>
      <c r="N3" s="6" t="s">
        <v>934</v>
      </c>
      <c r="O3" s="6" t="s">
        <v>513</v>
      </c>
      <c r="P3" s="6" t="s">
        <v>1063</v>
      </c>
      <c r="Q3" t="s">
        <v>1067</v>
      </c>
      <c r="R3" t="s">
        <v>17</v>
      </c>
      <c r="U3" s="43" t="s">
        <v>760</v>
      </c>
      <c r="V3" s="36">
        <v>49</v>
      </c>
      <c r="X3" s="41" t="s">
        <v>520</v>
      </c>
      <c r="Y3" s="41">
        <v>1</v>
      </c>
      <c r="Z3" s="41">
        <v>1</v>
      </c>
      <c r="AA3" s="41">
        <v>1</v>
      </c>
    </row>
    <row r="4" spans="1:27" x14ac:dyDescent="0.2">
      <c r="A4" s="6" t="s">
        <v>783</v>
      </c>
      <c r="B4" s="1">
        <v>43504</v>
      </c>
      <c r="C4" s="1">
        <v>43504</v>
      </c>
      <c r="D4" s="1">
        <v>43534</v>
      </c>
      <c r="E4" s="18">
        <v>30</v>
      </c>
      <c r="F4" s="18">
        <v>5</v>
      </c>
      <c r="G4" s="18">
        <v>2</v>
      </c>
      <c r="H4" s="18">
        <v>170</v>
      </c>
      <c r="I4" s="18">
        <v>30</v>
      </c>
      <c r="J4" t="s">
        <v>19</v>
      </c>
      <c r="K4" s="30">
        <v>1.49576325</v>
      </c>
      <c r="L4" s="8">
        <v>9459</v>
      </c>
      <c r="M4" s="8">
        <v>2000</v>
      </c>
      <c r="N4" s="6" t="s">
        <v>935</v>
      </c>
      <c r="O4" s="6" t="s">
        <v>515</v>
      </c>
      <c r="P4" s="6" t="s">
        <v>1064</v>
      </c>
      <c r="Q4" t="s">
        <v>1067</v>
      </c>
      <c r="R4" t="s">
        <v>16</v>
      </c>
      <c r="X4" s="41" t="s">
        <v>517</v>
      </c>
      <c r="Y4" s="41">
        <v>7</v>
      </c>
      <c r="Z4" s="41">
        <v>262141</v>
      </c>
      <c r="AA4" s="41">
        <v>37448.714285714283</v>
      </c>
    </row>
    <row r="5" spans="1:27" x14ac:dyDescent="0.2">
      <c r="A5" s="6" t="s">
        <v>784</v>
      </c>
      <c r="B5" s="1">
        <v>43676</v>
      </c>
      <c r="C5" s="1">
        <v>43721</v>
      </c>
      <c r="D5" s="1">
        <v>43746</v>
      </c>
      <c r="E5" s="18">
        <v>25</v>
      </c>
      <c r="F5" s="18">
        <v>5</v>
      </c>
      <c r="G5" s="18">
        <v>9</v>
      </c>
      <c r="H5" s="18">
        <v>50</v>
      </c>
      <c r="I5" s="18">
        <v>25</v>
      </c>
      <c r="J5" t="s">
        <v>22</v>
      </c>
      <c r="K5" s="30">
        <v>0.76932900999999998</v>
      </c>
      <c r="L5" s="8">
        <v>3391</v>
      </c>
      <c r="M5" s="8">
        <v>3300</v>
      </c>
      <c r="N5" s="6" t="s">
        <v>936</v>
      </c>
      <c r="O5" s="6" t="s">
        <v>517</v>
      </c>
      <c r="P5" s="6" t="s">
        <v>1064</v>
      </c>
      <c r="Q5" t="s">
        <v>1067</v>
      </c>
      <c r="R5" t="s">
        <v>16</v>
      </c>
      <c r="U5" s="43" t="s">
        <v>761</v>
      </c>
      <c r="V5" s="36">
        <v>1</v>
      </c>
      <c r="X5" s="41" t="s">
        <v>521</v>
      </c>
      <c r="Y5" s="41">
        <v>1</v>
      </c>
      <c r="Z5" s="41">
        <v>155</v>
      </c>
      <c r="AA5" s="41">
        <v>155</v>
      </c>
    </row>
    <row r="6" spans="1:27" x14ac:dyDescent="0.2">
      <c r="A6" s="6" t="s">
        <v>785</v>
      </c>
      <c r="B6" s="1">
        <v>43471</v>
      </c>
      <c r="C6" s="1">
        <v>43622</v>
      </c>
      <c r="D6" s="1">
        <v>43652</v>
      </c>
      <c r="E6" s="18">
        <v>30</v>
      </c>
      <c r="F6" s="18">
        <v>4</v>
      </c>
      <c r="G6" s="18">
        <v>6</v>
      </c>
      <c r="H6" s="18">
        <v>250</v>
      </c>
      <c r="I6" s="18">
        <v>30</v>
      </c>
      <c r="J6" t="s">
        <v>15</v>
      </c>
      <c r="K6" s="30">
        <v>1</v>
      </c>
      <c r="L6" s="8">
        <v>6341</v>
      </c>
      <c r="M6" s="8">
        <v>2500</v>
      </c>
      <c r="N6" s="6" t="s">
        <v>937</v>
      </c>
      <c r="O6" s="6" t="s">
        <v>513</v>
      </c>
      <c r="P6" s="6" t="s">
        <v>1065</v>
      </c>
      <c r="Q6" t="s">
        <v>1067</v>
      </c>
      <c r="R6" t="s">
        <v>16</v>
      </c>
      <c r="X6" s="41" t="s">
        <v>1060</v>
      </c>
      <c r="Y6" s="41">
        <v>1</v>
      </c>
      <c r="Z6" s="41">
        <v>1868</v>
      </c>
      <c r="AA6" s="41">
        <v>1868</v>
      </c>
    </row>
    <row r="7" spans="1:27" x14ac:dyDescent="0.2">
      <c r="A7" s="6" t="s">
        <v>786</v>
      </c>
      <c r="B7" s="1">
        <v>43466</v>
      </c>
      <c r="C7" s="1">
        <v>43511</v>
      </c>
      <c r="D7" s="1">
        <v>43527</v>
      </c>
      <c r="E7" s="18">
        <v>16</v>
      </c>
      <c r="F7" s="18">
        <v>5</v>
      </c>
      <c r="G7" s="18">
        <v>2</v>
      </c>
      <c r="H7" s="18">
        <v>667</v>
      </c>
      <c r="I7" s="18">
        <v>16</v>
      </c>
      <c r="J7" t="s">
        <v>18</v>
      </c>
      <c r="K7" s="30">
        <v>1.16955371</v>
      </c>
      <c r="L7" s="8">
        <v>58927</v>
      </c>
      <c r="M7" s="8">
        <v>17000</v>
      </c>
      <c r="N7" s="6" t="s">
        <v>938</v>
      </c>
      <c r="O7" s="6" t="s">
        <v>519</v>
      </c>
      <c r="P7" s="6" t="s">
        <v>1065</v>
      </c>
      <c r="Q7" t="s">
        <v>1067</v>
      </c>
      <c r="R7" t="s">
        <v>16</v>
      </c>
      <c r="U7" s="44" t="s">
        <v>766</v>
      </c>
      <c r="V7" s="29"/>
      <c r="X7" s="41" t="s">
        <v>379</v>
      </c>
      <c r="Y7" s="41">
        <v>6</v>
      </c>
      <c r="Z7" s="41">
        <v>112002</v>
      </c>
      <c r="AA7" s="41">
        <v>18667</v>
      </c>
    </row>
    <row r="8" spans="1:27" x14ac:dyDescent="0.2">
      <c r="A8" s="6" t="s">
        <v>787</v>
      </c>
      <c r="B8" s="1">
        <v>43467</v>
      </c>
      <c r="C8" s="1">
        <v>43503</v>
      </c>
      <c r="D8" s="1">
        <v>43523</v>
      </c>
      <c r="E8" s="18">
        <v>20</v>
      </c>
      <c r="F8" s="18">
        <v>4</v>
      </c>
      <c r="G8" s="18">
        <v>2</v>
      </c>
      <c r="H8" s="18">
        <v>243</v>
      </c>
      <c r="I8" s="18">
        <v>20</v>
      </c>
      <c r="J8" t="s">
        <v>15</v>
      </c>
      <c r="K8" s="30">
        <v>1</v>
      </c>
      <c r="L8" s="8">
        <v>7402</v>
      </c>
      <c r="M8" s="8">
        <v>5000</v>
      </c>
      <c r="N8" s="6" t="s">
        <v>939</v>
      </c>
      <c r="O8" s="6" t="s">
        <v>513</v>
      </c>
      <c r="P8" s="6" t="s">
        <v>1064</v>
      </c>
      <c r="Q8" t="s">
        <v>1067</v>
      </c>
      <c r="R8" t="s">
        <v>16</v>
      </c>
      <c r="U8" s="45" t="s">
        <v>767</v>
      </c>
      <c r="V8" s="36">
        <v>134773</v>
      </c>
      <c r="X8" s="41" t="s">
        <v>514</v>
      </c>
      <c r="Y8" s="41">
        <v>5</v>
      </c>
      <c r="Z8" s="41">
        <v>177032</v>
      </c>
      <c r="AA8" s="41">
        <v>35406.400000000001</v>
      </c>
    </row>
    <row r="9" spans="1:27" x14ac:dyDescent="0.2">
      <c r="A9" s="6" t="s">
        <v>788</v>
      </c>
      <c r="B9" s="1">
        <v>43469</v>
      </c>
      <c r="C9" s="1">
        <v>43497</v>
      </c>
      <c r="D9" s="1">
        <v>43525</v>
      </c>
      <c r="E9" s="18">
        <v>28</v>
      </c>
      <c r="F9" s="18">
        <v>5</v>
      </c>
      <c r="G9" s="18">
        <v>2</v>
      </c>
      <c r="H9" s="18">
        <v>144</v>
      </c>
      <c r="I9" s="18">
        <v>28</v>
      </c>
      <c r="J9" t="s">
        <v>15</v>
      </c>
      <c r="K9" s="30">
        <v>1</v>
      </c>
      <c r="L9" s="8">
        <v>1816</v>
      </c>
      <c r="M9" s="8">
        <v>1800</v>
      </c>
      <c r="N9" s="6" t="s">
        <v>940</v>
      </c>
      <c r="O9" s="6" t="s">
        <v>513</v>
      </c>
      <c r="P9" s="6" t="s">
        <v>1064</v>
      </c>
      <c r="Q9" t="s">
        <v>1068</v>
      </c>
      <c r="R9" t="s">
        <v>16</v>
      </c>
      <c r="U9" s="43" t="s">
        <v>768</v>
      </c>
      <c r="V9" s="36">
        <v>1</v>
      </c>
      <c r="X9" s="41" t="s">
        <v>408</v>
      </c>
      <c r="Y9" s="41">
        <v>5</v>
      </c>
      <c r="Z9" s="41">
        <v>25336</v>
      </c>
      <c r="AA9" s="41">
        <v>5067.2</v>
      </c>
    </row>
    <row r="10" spans="1:27" x14ac:dyDescent="0.2">
      <c r="A10" s="6" t="s">
        <v>789</v>
      </c>
      <c r="B10" s="1">
        <v>43472</v>
      </c>
      <c r="C10" s="1">
        <v>43550</v>
      </c>
      <c r="D10" s="1">
        <v>43587</v>
      </c>
      <c r="E10" s="18">
        <v>37</v>
      </c>
      <c r="F10" s="18">
        <v>2</v>
      </c>
      <c r="G10" s="18">
        <v>3</v>
      </c>
      <c r="H10" s="18">
        <v>4009</v>
      </c>
      <c r="I10" s="18">
        <v>37</v>
      </c>
      <c r="J10" t="s">
        <v>15</v>
      </c>
      <c r="K10" s="30">
        <v>1</v>
      </c>
      <c r="L10" s="8">
        <v>109566</v>
      </c>
      <c r="M10" s="8">
        <v>15013</v>
      </c>
      <c r="N10" s="6" t="s">
        <v>934</v>
      </c>
      <c r="O10" s="6" t="s">
        <v>513</v>
      </c>
      <c r="P10" s="6" t="s">
        <v>1064</v>
      </c>
      <c r="Q10" t="s">
        <v>1067</v>
      </c>
      <c r="R10" t="s">
        <v>16</v>
      </c>
      <c r="U10" s="43" t="s">
        <v>769</v>
      </c>
      <c r="V10" s="36">
        <v>26004</v>
      </c>
      <c r="X10" s="41" t="s">
        <v>519</v>
      </c>
      <c r="Y10" s="41">
        <v>5</v>
      </c>
      <c r="Z10" s="41">
        <v>129377</v>
      </c>
      <c r="AA10" s="41">
        <v>21562.833333333332</v>
      </c>
    </row>
    <row r="11" spans="1:27" x14ac:dyDescent="0.2">
      <c r="A11" s="6" t="s">
        <v>790</v>
      </c>
      <c r="B11" s="1">
        <v>43474</v>
      </c>
      <c r="C11" s="1">
        <v>43522</v>
      </c>
      <c r="D11" s="1">
        <v>43549</v>
      </c>
      <c r="E11" s="18">
        <v>27</v>
      </c>
      <c r="F11" s="18">
        <v>2</v>
      </c>
      <c r="G11" s="18">
        <v>2</v>
      </c>
      <c r="H11" s="18">
        <v>143</v>
      </c>
      <c r="I11" s="18">
        <v>27</v>
      </c>
      <c r="J11" t="s">
        <v>15</v>
      </c>
      <c r="K11" s="30">
        <v>1</v>
      </c>
      <c r="L11" s="8">
        <v>4868</v>
      </c>
      <c r="M11" s="8">
        <v>2200</v>
      </c>
      <c r="N11" s="6" t="s">
        <v>941</v>
      </c>
      <c r="O11" s="6" t="s">
        <v>513</v>
      </c>
      <c r="P11" s="6" t="s">
        <v>1064</v>
      </c>
      <c r="Q11" t="s">
        <v>1067</v>
      </c>
      <c r="R11" t="s">
        <v>16</v>
      </c>
      <c r="U11" s="43" t="s">
        <v>770</v>
      </c>
      <c r="V11" s="36">
        <v>886.66447368421052</v>
      </c>
      <c r="X11" s="41" t="s">
        <v>1057</v>
      </c>
      <c r="Y11" s="41">
        <v>1</v>
      </c>
      <c r="Z11" s="41">
        <v>423044</v>
      </c>
      <c r="AA11" s="41">
        <v>423044</v>
      </c>
    </row>
    <row r="12" spans="1:27" x14ac:dyDescent="0.2">
      <c r="A12" s="6" t="s">
        <v>791</v>
      </c>
      <c r="B12" s="1">
        <v>43475</v>
      </c>
      <c r="C12" s="1">
        <v>43508</v>
      </c>
      <c r="D12" s="1">
        <v>43539</v>
      </c>
      <c r="E12" s="18">
        <v>31</v>
      </c>
      <c r="F12" s="18">
        <v>2</v>
      </c>
      <c r="G12" s="18">
        <v>2</v>
      </c>
      <c r="H12" s="18">
        <v>5431</v>
      </c>
      <c r="I12" s="18">
        <v>31</v>
      </c>
      <c r="J12" t="s">
        <v>15</v>
      </c>
      <c r="K12" s="30">
        <v>1</v>
      </c>
      <c r="L12" s="8">
        <v>528786</v>
      </c>
      <c r="M12" s="8">
        <v>40000</v>
      </c>
      <c r="N12" s="6" t="s">
        <v>942</v>
      </c>
      <c r="O12" s="6" t="s">
        <v>513</v>
      </c>
      <c r="P12" s="6" t="s">
        <v>1064</v>
      </c>
      <c r="Q12" t="s">
        <v>1067</v>
      </c>
      <c r="R12" t="s">
        <v>16</v>
      </c>
      <c r="U12" s="43" t="s">
        <v>771</v>
      </c>
      <c r="V12" s="36">
        <v>155</v>
      </c>
      <c r="X12" s="41" t="s">
        <v>1059</v>
      </c>
      <c r="Y12" s="41">
        <v>2</v>
      </c>
      <c r="Z12" s="41">
        <v>220836</v>
      </c>
      <c r="AA12" s="41">
        <v>110418</v>
      </c>
    </row>
    <row r="13" spans="1:27" x14ac:dyDescent="0.2">
      <c r="A13" s="6" t="s">
        <v>792</v>
      </c>
      <c r="B13" s="1">
        <v>43478</v>
      </c>
      <c r="C13" s="1">
        <v>43546</v>
      </c>
      <c r="D13" s="1">
        <v>43576</v>
      </c>
      <c r="E13" s="18">
        <v>30</v>
      </c>
      <c r="F13" s="18">
        <v>5</v>
      </c>
      <c r="G13" s="18">
        <v>3</v>
      </c>
      <c r="H13" s="18">
        <v>286</v>
      </c>
      <c r="I13" s="18">
        <v>30</v>
      </c>
      <c r="J13" t="s">
        <v>15</v>
      </c>
      <c r="K13" s="30">
        <v>1</v>
      </c>
      <c r="L13" s="8">
        <v>5113</v>
      </c>
      <c r="M13" s="8">
        <v>1250</v>
      </c>
      <c r="N13" s="6" t="s">
        <v>943</v>
      </c>
      <c r="O13" s="6" t="s">
        <v>513</v>
      </c>
      <c r="P13" s="6" t="s">
        <v>1064</v>
      </c>
      <c r="Q13" t="s">
        <v>1067</v>
      </c>
      <c r="R13" t="s">
        <v>16</v>
      </c>
      <c r="X13" s="41" t="s">
        <v>405</v>
      </c>
      <c r="Y13" s="41">
        <v>3</v>
      </c>
      <c r="Z13" s="41">
        <v>15555</v>
      </c>
      <c r="AA13" s="41">
        <v>5185</v>
      </c>
    </row>
    <row r="14" spans="1:27" x14ac:dyDescent="0.2">
      <c r="A14" s="6" t="s">
        <v>793</v>
      </c>
      <c r="B14" s="1">
        <v>43487</v>
      </c>
      <c r="C14" s="1">
        <v>43531</v>
      </c>
      <c r="D14" s="1">
        <v>43561</v>
      </c>
      <c r="E14" s="18">
        <v>30</v>
      </c>
      <c r="F14" s="18">
        <v>4</v>
      </c>
      <c r="G14" s="18">
        <v>3</v>
      </c>
      <c r="H14" s="18">
        <v>10</v>
      </c>
      <c r="I14" s="18">
        <v>30</v>
      </c>
      <c r="J14" t="s">
        <v>19</v>
      </c>
      <c r="K14" s="30">
        <v>1.49576325</v>
      </c>
      <c r="L14" s="8">
        <v>398</v>
      </c>
      <c r="M14" s="8">
        <v>250</v>
      </c>
      <c r="N14" s="6" t="s">
        <v>944</v>
      </c>
      <c r="O14" s="6" t="s">
        <v>515</v>
      </c>
      <c r="P14" s="6" t="s">
        <v>1064</v>
      </c>
      <c r="Q14" t="s">
        <v>1067</v>
      </c>
      <c r="R14" t="s">
        <v>16</v>
      </c>
      <c r="U14" s="46" t="s">
        <v>776</v>
      </c>
      <c r="V14" s="38" t="s">
        <v>777</v>
      </c>
      <c r="X14" s="41" t="s">
        <v>489</v>
      </c>
      <c r="Y14" s="41">
        <v>4</v>
      </c>
      <c r="Z14" s="41">
        <v>625444</v>
      </c>
      <c r="AA14" s="41">
        <v>156361</v>
      </c>
    </row>
    <row r="15" spans="1:27" x14ac:dyDescent="0.2">
      <c r="A15" s="6" t="s">
        <v>794</v>
      </c>
      <c r="B15" s="1">
        <v>43491</v>
      </c>
      <c r="C15" s="1">
        <v>43497</v>
      </c>
      <c r="D15" s="1">
        <v>43512</v>
      </c>
      <c r="E15" s="18">
        <v>15</v>
      </c>
      <c r="F15" s="18">
        <v>5</v>
      </c>
      <c r="G15" s="18">
        <v>2</v>
      </c>
      <c r="H15" s="18">
        <v>1</v>
      </c>
      <c r="I15" s="18">
        <v>15</v>
      </c>
      <c r="J15" t="s">
        <v>15</v>
      </c>
      <c r="K15" s="30">
        <v>1</v>
      </c>
      <c r="L15" s="8">
        <v>1</v>
      </c>
      <c r="M15" s="8">
        <v>3500</v>
      </c>
      <c r="N15" s="6" t="s">
        <v>945</v>
      </c>
      <c r="O15" s="6" t="s">
        <v>513</v>
      </c>
      <c r="P15" s="6" t="s">
        <v>1062</v>
      </c>
      <c r="Q15" t="s">
        <v>1067</v>
      </c>
      <c r="R15" t="s">
        <v>17</v>
      </c>
      <c r="U15" s="36" t="s">
        <v>1062</v>
      </c>
      <c r="V15" s="39">
        <v>9</v>
      </c>
      <c r="X15" s="41" t="s">
        <v>1058</v>
      </c>
      <c r="Y15" s="41">
        <v>1</v>
      </c>
      <c r="Z15" s="41">
        <v>13565</v>
      </c>
      <c r="AA15" s="41">
        <v>13565</v>
      </c>
    </row>
    <row r="16" spans="1:27" x14ac:dyDescent="0.2">
      <c r="A16" s="6" t="s">
        <v>795</v>
      </c>
      <c r="B16" s="1">
        <v>43491</v>
      </c>
      <c r="C16" s="1">
        <v>43502</v>
      </c>
      <c r="D16" s="1">
        <v>43532</v>
      </c>
      <c r="E16" s="18">
        <v>30</v>
      </c>
      <c r="F16" s="18">
        <v>3</v>
      </c>
      <c r="G16" s="18">
        <v>2</v>
      </c>
      <c r="H16" s="18">
        <v>16</v>
      </c>
      <c r="I16" s="18">
        <v>30</v>
      </c>
      <c r="J16" t="s">
        <v>33</v>
      </c>
      <c r="K16" s="30">
        <v>0.70150824000000001</v>
      </c>
      <c r="L16" s="8">
        <v>634</v>
      </c>
      <c r="M16" s="8">
        <v>9000</v>
      </c>
      <c r="N16" s="6" t="s">
        <v>946</v>
      </c>
      <c r="O16" s="6" t="s">
        <v>405</v>
      </c>
      <c r="P16" s="6" t="s">
        <v>1065</v>
      </c>
      <c r="Q16" t="s">
        <v>1067</v>
      </c>
      <c r="R16" t="s">
        <v>17</v>
      </c>
      <c r="U16" s="36" t="s">
        <v>1063</v>
      </c>
      <c r="V16" s="39">
        <v>7</v>
      </c>
      <c r="X16" s="41" t="s">
        <v>515</v>
      </c>
      <c r="Y16" s="41">
        <v>14</v>
      </c>
      <c r="Z16" s="41">
        <v>218220</v>
      </c>
      <c r="AA16" s="41">
        <v>13638.75</v>
      </c>
    </row>
    <row r="17" spans="1:27" x14ac:dyDescent="0.2">
      <c r="A17" s="6" t="s">
        <v>796</v>
      </c>
      <c r="B17" s="1">
        <v>43493</v>
      </c>
      <c r="C17" s="1">
        <v>43514</v>
      </c>
      <c r="D17" s="1">
        <v>43559</v>
      </c>
      <c r="E17" s="18">
        <v>45</v>
      </c>
      <c r="F17" s="18">
        <v>1</v>
      </c>
      <c r="G17" s="18">
        <v>2</v>
      </c>
      <c r="H17" s="18">
        <v>1331</v>
      </c>
      <c r="I17" s="18">
        <v>45</v>
      </c>
      <c r="J17" t="s">
        <v>15</v>
      </c>
      <c r="K17" s="30">
        <v>1</v>
      </c>
      <c r="L17" s="8">
        <v>157049</v>
      </c>
      <c r="M17" s="8">
        <v>50000</v>
      </c>
      <c r="N17" s="6" t="s">
        <v>947</v>
      </c>
      <c r="O17" s="6" t="s">
        <v>513</v>
      </c>
      <c r="P17" s="6" t="s">
        <v>1064</v>
      </c>
      <c r="Q17" t="s">
        <v>1067</v>
      </c>
      <c r="R17" t="s">
        <v>16</v>
      </c>
      <c r="U17" s="36" t="s">
        <v>1065</v>
      </c>
      <c r="V17" s="39">
        <v>27</v>
      </c>
      <c r="X17" s="41" t="s">
        <v>513</v>
      </c>
      <c r="Y17" s="41">
        <v>80</v>
      </c>
      <c r="Z17" s="41">
        <v>7686009</v>
      </c>
      <c r="AA17" s="41">
        <v>85400.1</v>
      </c>
    </row>
    <row r="18" spans="1:27" x14ac:dyDescent="0.2">
      <c r="A18" s="6" t="s">
        <v>797</v>
      </c>
      <c r="B18" s="1">
        <v>43493</v>
      </c>
      <c r="C18" s="1">
        <v>43529</v>
      </c>
      <c r="D18" s="1">
        <v>43559</v>
      </c>
      <c r="E18" s="18">
        <v>30</v>
      </c>
      <c r="F18" s="18">
        <v>2</v>
      </c>
      <c r="G18" s="18">
        <v>3</v>
      </c>
      <c r="H18" s="18">
        <v>258</v>
      </c>
      <c r="I18" s="18">
        <v>30</v>
      </c>
      <c r="J18" t="s">
        <v>15</v>
      </c>
      <c r="K18" s="30">
        <v>1</v>
      </c>
      <c r="L18" s="8">
        <v>6818</v>
      </c>
      <c r="M18" s="8">
        <v>3500</v>
      </c>
      <c r="N18" s="6" t="s">
        <v>948</v>
      </c>
      <c r="O18" s="6" t="s">
        <v>513</v>
      </c>
      <c r="P18" s="6" t="s">
        <v>1064</v>
      </c>
      <c r="Q18" t="s">
        <v>1067</v>
      </c>
      <c r="R18" t="s">
        <v>16</v>
      </c>
      <c r="U18" s="36" t="s">
        <v>1066</v>
      </c>
      <c r="V18" s="39">
        <v>3</v>
      </c>
    </row>
    <row r="19" spans="1:27" x14ac:dyDescent="0.2">
      <c r="A19" s="6" t="s">
        <v>798</v>
      </c>
      <c r="B19" s="1">
        <v>43494</v>
      </c>
      <c r="C19" s="1">
        <v>43620</v>
      </c>
      <c r="D19" s="1">
        <v>43644</v>
      </c>
      <c r="E19" s="18">
        <v>24</v>
      </c>
      <c r="F19" s="18">
        <v>2</v>
      </c>
      <c r="G19" s="18">
        <v>6</v>
      </c>
      <c r="H19" s="18">
        <v>2378</v>
      </c>
      <c r="I19" s="18">
        <v>24</v>
      </c>
      <c r="J19" t="s">
        <v>15</v>
      </c>
      <c r="K19" s="30">
        <v>1</v>
      </c>
      <c r="L19" s="8">
        <v>135083</v>
      </c>
      <c r="M19" s="8">
        <v>50000</v>
      </c>
      <c r="N19" s="6" t="s">
        <v>949</v>
      </c>
      <c r="O19" s="6" t="s">
        <v>513</v>
      </c>
      <c r="P19" s="6" t="s">
        <v>1064</v>
      </c>
      <c r="Q19" t="s">
        <v>1068</v>
      </c>
      <c r="R19" t="s">
        <v>16</v>
      </c>
      <c r="U19" s="36" t="s">
        <v>1064</v>
      </c>
      <c r="V19" s="39">
        <v>106</v>
      </c>
    </row>
    <row r="20" spans="1:27" x14ac:dyDescent="0.2">
      <c r="A20" s="6" t="s">
        <v>799</v>
      </c>
      <c r="B20" s="1">
        <v>43496</v>
      </c>
      <c r="C20" s="1">
        <v>43501</v>
      </c>
      <c r="D20" s="1">
        <v>43538</v>
      </c>
      <c r="E20" s="18">
        <v>37</v>
      </c>
      <c r="F20" s="18">
        <v>2</v>
      </c>
      <c r="G20" s="18">
        <v>2</v>
      </c>
      <c r="H20" s="18">
        <v>2</v>
      </c>
      <c r="I20" s="18">
        <v>37</v>
      </c>
      <c r="J20" t="s">
        <v>18</v>
      </c>
      <c r="K20" s="30">
        <v>1.16955371</v>
      </c>
      <c r="L20" s="8">
        <v>2</v>
      </c>
      <c r="M20" s="8">
        <v>1500</v>
      </c>
      <c r="N20" s="6" t="s">
        <v>950</v>
      </c>
      <c r="O20" s="6" t="s">
        <v>489</v>
      </c>
      <c r="P20" s="6" t="s">
        <v>1062</v>
      </c>
      <c r="Q20" t="s">
        <v>1067</v>
      </c>
      <c r="R20" t="s">
        <v>17</v>
      </c>
    </row>
    <row r="21" spans="1:27" x14ac:dyDescent="0.2">
      <c r="A21" s="6" t="s">
        <v>800</v>
      </c>
      <c r="B21" s="1">
        <v>43498</v>
      </c>
      <c r="C21" s="1">
        <v>43519</v>
      </c>
      <c r="D21" s="1">
        <v>43549</v>
      </c>
      <c r="E21" s="18">
        <v>30</v>
      </c>
      <c r="F21" s="18">
        <v>6</v>
      </c>
      <c r="G21" s="18">
        <v>2</v>
      </c>
      <c r="H21" s="18">
        <v>207</v>
      </c>
      <c r="I21" s="18">
        <v>30</v>
      </c>
      <c r="J21" t="s">
        <v>18</v>
      </c>
      <c r="K21" s="30">
        <v>1.16955371</v>
      </c>
      <c r="L21" s="8">
        <v>8583</v>
      </c>
      <c r="M21" s="8">
        <v>7000</v>
      </c>
      <c r="N21" s="6" t="s">
        <v>951</v>
      </c>
      <c r="O21" s="6" t="s">
        <v>379</v>
      </c>
      <c r="P21" s="6" t="s">
        <v>1065</v>
      </c>
      <c r="Q21" t="s">
        <v>1067</v>
      </c>
      <c r="R21" t="s">
        <v>16</v>
      </c>
      <c r="U21" s="43" t="s">
        <v>778</v>
      </c>
      <c r="V21" s="42">
        <v>101581.34065934065</v>
      </c>
    </row>
    <row r="22" spans="1:27" x14ac:dyDescent="0.2">
      <c r="A22" s="6" t="s">
        <v>801</v>
      </c>
      <c r="B22" s="1">
        <v>43498</v>
      </c>
      <c r="C22" s="1">
        <v>43529</v>
      </c>
      <c r="D22" s="1">
        <v>43545</v>
      </c>
      <c r="E22" s="18">
        <v>16</v>
      </c>
      <c r="F22" s="18">
        <v>2</v>
      </c>
      <c r="G22" s="18">
        <v>3</v>
      </c>
      <c r="H22" s="18">
        <v>5428</v>
      </c>
      <c r="I22" s="18">
        <v>16</v>
      </c>
      <c r="J22" t="s">
        <v>18</v>
      </c>
      <c r="K22" s="30">
        <v>1.16955371</v>
      </c>
      <c r="L22" s="8">
        <v>455602</v>
      </c>
      <c r="M22" s="8">
        <v>30000</v>
      </c>
      <c r="N22" s="6" t="s">
        <v>952</v>
      </c>
      <c r="O22" s="6" t="s">
        <v>489</v>
      </c>
      <c r="P22" s="6" t="s">
        <v>1064</v>
      </c>
      <c r="Q22" t="s">
        <v>1067</v>
      </c>
      <c r="R22" t="s">
        <v>16</v>
      </c>
    </row>
    <row r="23" spans="1:27" x14ac:dyDescent="0.2">
      <c r="A23" s="6" t="s">
        <v>802</v>
      </c>
      <c r="B23" s="1">
        <v>43500</v>
      </c>
      <c r="C23" s="1">
        <v>43655</v>
      </c>
      <c r="D23" s="1">
        <v>43671</v>
      </c>
      <c r="E23" s="18">
        <v>16</v>
      </c>
      <c r="F23" s="18">
        <v>2</v>
      </c>
      <c r="G23" s="18">
        <v>7</v>
      </c>
      <c r="H23" s="18">
        <v>165</v>
      </c>
      <c r="I23" s="18">
        <v>16</v>
      </c>
      <c r="J23" t="s">
        <v>15</v>
      </c>
      <c r="K23" s="30">
        <v>1</v>
      </c>
      <c r="L23" s="8">
        <v>5513</v>
      </c>
      <c r="M23" s="8">
        <v>3000</v>
      </c>
      <c r="N23" s="6" t="s">
        <v>953</v>
      </c>
      <c r="O23" s="6" t="s">
        <v>513</v>
      </c>
      <c r="P23" s="6" t="s">
        <v>1064</v>
      </c>
      <c r="Q23" t="s">
        <v>1067</v>
      </c>
      <c r="R23" t="s">
        <v>16</v>
      </c>
    </row>
    <row r="24" spans="1:27" x14ac:dyDescent="0.2">
      <c r="A24" s="6" t="s">
        <v>803</v>
      </c>
      <c r="B24" s="1">
        <v>43500</v>
      </c>
      <c r="C24" s="1">
        <v>43542</v>
      </c>
      <c r="D24" s="1">
        <v>43558</v>
      </c>
      <c r="E24" s="18">
        <v>16</v>
      </c>
      <c r="F24" s="18">
        <v>1</v>
      </c>
      <c r="G24" s="18">
        <v>3</v>
      </c>
      <c r="H24" s="18">
        <v>30</v>
      </c>
      <c r="I24" s="18">
        <v>16</v>
      </c>
      <c r="J24" t="s">
        <v>15</v>
      </c>
      <c r="K24" s="30">
        <v>1</v>
      </c>
      <c r="L24" s="8">
        <v>1232</v>
      </c>
      <c r="M24" s="8">
        <v>1000</v>
      </c>
      <c r="N24" s="6" t="s">
        <v>954</v>
      </c>
      <c r="O24" s="6" t="s">
        <v>513</v>
      </c>
      <c r="P24" s="6" t="s">
        <v>1064</v>
      </c>
      <c r="Q24" t="s">
        <v>1067</v>
      </c>
      <c r="R24" t="s">
        <v>16</v>
      </c>
    </row>
    <row r="25" spans="1:27" x14ac:dyDescent="0.2">
      <c r="A25" s="6" t="s">
        <v>804</v>
      </c>
      <c r="B25" s="1">
        <v>43502</v>
      </c>
      <c r="C25" s="1">
        <v>43507</v>
      </c>
      <c r="D25" s="1">
        <v>43529</v>
      </c>
      <c r="E25" s="18">
        <v>22</v>
      </c>
      <c r="F25" s="18">
        <v>1</v>
      </c>
      <c r="G25" s="18">
        <v>2</v>
      </c>
      <c r="H25" s="18">
        <v>374</v>
      </c>
      <c r="I25" s="18">
        <v>22</v>
      </c>
      <c r="J25" t="s">
        <v>15</v>
      </c>
      <c r="K25" s="30">
        <v>1</v>
      </c>
      <c r="L25" s="8">
        <v>24135</v>
      </c>
      <c r="M25" s="8">
        <v>2500</v>
      </c>
      <c r="N25" s="6" t="s">
        <v>955</v>
      </c>
      <c r="O25" s="6" t="s">
        <v>513</v>
      </c>
      <c r="P25" s="6" t="s">
        <v>1064</v>
      </c>
      <c r="Q25" t="s">
        <v>1067</v>
      </c>
      <c r="R25" t="s">
        <v>16</v>
      </c>
    </row>
    <row r="26" spans="1:27" x14ac:dyDescent="0.2">
      <c r="A26" s="6" t="s">
        <v>805</v>
      </c>
      <c r="B26" s="1">
        <v>43504</v>
      </c>
      <c r="C26" s="1">
        <v>43506</v>
      </c>
      <c r="D26" s="1">
        <v>43536</v>
      </c>
      <c r="E26" s="18">
        <v>30</v>
      </c>
      <c r="F26" s="18">
        <v>7</v>
      </c>
      <c r="G26" s="18">
        <v>2</v>
      </c>
      <c r="H26" s="18">
        <v>310</v>
      </c>
      <c r="I26" s="18">
        <v>30</v>
      </c>
      <c r="J26" t="s">
        <v>33</v>
      </c>
      <c r="K26" s="30">
        <v>0.70150824000000001</v>
      </c>
      <c r="L26" s="8">
        <v>14634</v>
      </c>
      <c r="M26" s="8">
        <v>6800</v>
      </c>
      <c r="N26" s="6" t="s">
        <v>946</v>
      </c>
      <c r="O26" s="6" t="s">
        <v>405</v>
      </c>
      <c r="P26" s="6" t="s">
        <v>1065</v>
      </c>
      <c r="Q26" t="s">
        <v>1067</v>
      </c>
      <c r="R26" t="s">
        <v>16</v>
      </c>
    </row>
    <row r="27" spans="1:27" x14ac:dyDescent="0.2">
      <c r="A27" s="6" t="s">
        <v>806</v>
      </c>
      <c r="B27" s="1">
        <v>43507</v>
      </c>
      <c r="C27" s="1">
        <v>43593</v>
      </c>
      <c r="D27" s="1">
        <v>43616</v>
      </c>
      <c r="E27" s="18">
        <v>23</v>
      </c>
      <c r="F27" s="18">
        <v>3</v>
      </c>
      <c r="G27" s="18">
        <v>5</v>
      </c>
      <c r="H27" s="18">
        <v>291</v>
      </c>
      <c r="I27" s="18">
        <v>23</v>
      </c>
      <c r="J27" t="s">
        <v>15</v>
      </c>
      <c r="K27" s="30">
        <v>1</v>
      </c>
      <c r="L27" s="8">
        <v>6234</v>
      </c>
      <c r="M27" s="8">
        <v>3200</v>
      </c>
      <c r="N27" s="6" t="s">
        <v>943</v>
      </c>
      <c r="O27" s="6" t="s">
        <v>513</v>
      </c>
      <c r="P27" s="6" t="s">
        <v>1064</v>
      </c>
      <c r="Q27" t="s">
        <v>1067</v>
      </c>
      <c r="R27" t="s">
        <v>16</v>
      </c>
    </row>
    <row r="28" spans="1:27" x14ac:dyDescent="0.2">
      <c r="A28" s="6" t="s">
        <v>807</v>
      </c>
      <c r="B28" s="1">
        <v>43508</v>
      </c>
      <c r="C28" s="1">
        <v>43508</v>
      </c>
      <c r="D28" s="1">
        <v>43523</v>
      </c>
      <c r="E28" s="18">
        <v>15</v>
      </c>
      <c r="F28" s="18">
        <v>2</v>
      </c>
      <c r="G28" s="18">
        <v>2</v>
      </c>
      <c r="H28" s="18">
        <v>153</v>
      </c>
      <c r="I28" s="18">
        <v>15</v>
      </c>
      <c r="J28" t="s">
        <v>18</v>
      </c>
      <c r="K28" s="30">
        <v>1.16955371</v>
      </c>
      <c r="L28" s="8">
        <v>945</v>
      </c>
      <c r="M28" s="8">
        <v>80</v>
      </c>
      <c r="N28" s="6" t="s">
        <v>956</v>
      </c>
      <c r="O28" s="6" t="s">
        <v>519</v>
      </c>
      <c r="P28" s="6" t="s">
        <v>1064</v>
      </c>
      <c r="Q28" t="s">
        <v>1067</v>
      </c>
      <c r="R28" t="s">
        <v>16</v>
      </c>
    </row>
    <row r="29" spans="1:27" x14ac:dyDescent="0.2">
      <c r="A29" s="6" t="s">
        <v>808</v>
      </c>
      <c r="B29" s="1">
        <v>43512</v>
      </c>
      <c r="C29" s="1">
        <v>43521</v>
      </c>
      <c r="D29" s="1">
        <v>43551</v>
      </c>
      <c r="E29" s="18">
        <v>30</v>
      </c>
      <c r="F29" s="18">
        <v>1</v>
      </c>
      <c r="G29" s="18">
        <v>2</v>
      </c>
      <c r="H29" s="18">
        <v>519</v>
      </c>
      <c r="I29" s="18">
        <v>30</v>
      </c>
      <c r="J29" t="s">
        <v>15</v>
      </c>
      <c r="K29" s="30">
        <v>1</v>
      </c>
      <c r="L29" s="8">
        <v>7169</v>
      </c>
      <c r="M29" s="8">
        <v>1000</v>
      </c>
      <c r="N29" s="6" t="s">
        <v>957</v>
      </c>
      <c r="O29" s="6" t="s">
        <v>513</v>
      </c>
      <c r="P29" s="6" t="s">
        <v>1064</v>
      </c>
      <c r="Q29" t="s">
        <v>1067</v>
      </c>
      <c r="R29" t="s">
        <v>16</v>
      </c>
    </row>
    <row r="30" spans="1:27" x14ac:dyDescent="0.2">
      <c r="A30" s="6" t="s">
        <v>809</v>
      </c>
      <c r="B30" s="1">
        <v>43512</v>
      </c>
      <c r="C30" s="1">
        <v>43514</v>
      </c>
      <c r="D30" s="1">
        <v>43529</v>
      </c>
      <c r="E30" s="18">
        <v>15</v>
      </c>
      <c r="F30" s="18">
        <v>1</v>
      </c>
      <c r="G30" s="18">
        <v>2</v>
      </c>
      <c r="H30" s="18">
        <v>268</v>
      </c>
      <c r="I30" s="18">
        <v>15</v>
      </c>
      <c r="J30" t="s">
        <v>15</v>
      </c>
      <c r="K30" s="30">
        <v>1</v>
      </c>
      <c r="L30" s="8">
        <v>5469</v>
      </c>
      <c r="M30" s="8">
        <v>500</v>
      </c>
      <c r="N30" s="6" t="s">
        <v>958</v>
      </c>
      <c r="O30" s="6" t="s">
        <v>513</v>
      </c>
      <c r="P30" s="6" t="s">
        <v>1064</v>
      </c>
      <c r="Q30" t="s">
        <v>1068</v>
      </c>
      <c r="R30" t="s">
        <v>16</v>
      </c>
    </row>
    <row r="31" spans="1:27" x14ac:dyDescent="0.2">
      <c r="A31" s="6" t="s">
        <v>810</v>
      </c>
      <c r="B31" s="1">
        <v>43515</v>
      </c>
      <c r="C31" s="1">
        <v>43536</v>
      </c>
      <c r="D31" s="1">
        <v>43566</v>
      </c>
      <c r="E31" s="18">
        <v>30</v>
      </c>
      <c r="F31" s="18">
        <v>2</v>
      </c>
      <c r="G31" s="18">
        <v>3</v>
      </c>
      <c r="H31" s="18">
        <v>479</v>
      </c>
      <c r="I31" s="18">
        <v>30</v>
      </c>
      <c r="J31" t="s">
        <v>19</v>
      </c>
      <c r="K31" s="30">
        <v>1.49576325</v>
      </c>
      <c r="L31" s="8">
        <v>25210</v>
      </c>
      <c r="M31" s="8">
        <v>8500</v>
      </c>
      <c r="N31" s="6" t="s">
        <v>959</v>
      </c>
      <c r="O31" s="6" t="s">
        <v>515</v>
      </c>
      <c r="P31" s="6" t="s">
        <v>1065</v>
      </c>
      <c r="Q31" t="s">
        <v>1067</v>
      </c>
      <c r="R31" t="s">
        <v>16</v>
      </c>
    </row>
    <row r="32" spans="1:27" x14ac:dyDescent="0.2">
      <c r="A32" s="6" t="s">
        <v>811</v>
      </c>
      <c r="B32" s="1">
        <v>43515</v>
      </c>
      <c r="C32" s="1">
        <v>43598</v>
      </c>
      <c r="D32" s="1">
        <v>43628</v>
      </c>
      <c r="E32" s="18">
        <v>30</v>
      </c>
      <c r="F32" s="18">
        <v>1</v>
      </c>
      <c r="G32" s="18">
        <v>5</v>
      </c>
      <c r="H32" s="18">
        <v>282</v>
      </c>
      <c r="I32" s="18">
        <v>30</v>
      </c>
      <c r="J32" t="s">
        <v>19</v>
      </c>
      <c r="K32" s="30">
        <v>1.49576325</v>
      </c>
      <c r="L32" s="8">
        <v>28120</v>
      </c>
      <c r="M32" s="8">
        <v>15000</v>
      </c>
      <c r="N32" s="6" t="s">
        <v>960</v>
      </c>
      <c r="O32" s="6" t="s">
        <v>515</v>
      </c>
      <c r="P32" s="6" t="s">
        <v>1064</v>
      </c>
      <c r="Q32" t="s">
        <v>1067</v>
      </c>
      <c r="R32" t="s">
        <v>16</v>
      </c>
    </row>
    <row r="33" spans="1:18" x14ac:dyDescent="0.2">
      <c r="A33" s="6" t="s">
        <v>812</v>
      </c>
      <c r="B33" s="1">
        <v>43515</v>
      </c>
      <c r="C33" s="1">
        <v>43524</v>
      </c>
      <c r="D33" s="1">
        <v>43539</v>
      </c>
      <c r="E33" s="18">
        <v>15</v>
      </c>
      <c r="F33" s="18">
        <v>4</v>
      </c>
      <c r="G33" s="18">
        <v>2</v>
      </c>
      <c r="H33" s="18">
        <v>125</v>
      </c>
      <c r="I33" s="18">
        <v>15</v>
      </c>
      <c r="J33" t="s">
        <v>15</v>
      </c>
      <c r="K33" s="30">
        <v>1</v>
      </c>
      <c r="L33" s="8">
        <v>1731</v>
      </c>
      <c r="M33" s="8">
        <v>500</v>
      </c>
      <c r="N33" s="6" t="s">
        <v>961</v>
      </c>
      <c r="O33" s="6" t="s">
        <v>513</v>
      </c>
      <c r="P33" s="6" t="s">
        <v>1064</v>
      </c>
      <c r="Q33" t="s">
        <v>1067</v>
      </c>
      <c r="R33" t="s">
        <v>16</v>
      </c>
    </row>
    <row r="34" spans="1:18" x14ac:dyDescent="0.2">
      <c r="A34" s="6" t="s">
        <v>813</v>
      </c>
      <c r="B34" s="1">
        <v>43518</v>
      </c>
      <c r="C34" s="1">
        <v>43578</v>
      </c>
      <c r="D34" s="1">
        <v>43614</v>
      </c>
      <c r="E34" s="18">
        <v>36</v>
      </c>
      <c r="F34" s="18">
        <v>2</v>
      </c>
      <c r="G34" s="18">
        <v>4</v>
      </c>
      <c r="H34" s="18">
        <v>710</v>
      </c>
      <c r="I34" s="18">
        <v>36</v>
      </c>
      <c r="J34" t="s">
        <v>22</v>
      </c>
      <c r="K34" s="30">
        <v>0.76932900999999998</v>
      </c>
      <c r="L34" s="8">
        <v>35622</v>
      </c>
      <c r="M34" s="8">
        <v>27000</v>
      </c>
      <c r="N34" s="6" t="s">
        <v>936</v>
      </c>
      <c r="O34" s="6" t="s">
        <v>517</v>
      </c>
      <c r="P34" s="6" t="s">
        <v>1064</v>
      </c>
      <c r="Q34" t="s">
        <v>1067</v>
      </c>
      <c r="R34" t="s">
        <v>16</v>
      </c>
    </row>
    <row r="35" spans="1:18" x14ac:dyDescent="0.2">
      <c r="A35" s="6" t="s">
        <v>814</v>
      </c>
      <c r="B35" s="1">
        <v>43520</v>
      </c>
      <c r="C35" s="1">
        <v>43525</v>
      </c>
      <c r="D35" s="1">
        <v>43585</v>
      </c>
      <c r="E35" s="18">
        <v>60</v>
      </c>
      <c r="F35" s="18">
        <v>5</v>
      </c>
      <c r="G35" s="18">
        <v>3</v>
      </c>
      <c r="H35" s="18">
        <v>4</v>
      </c>
      <c r="I35" s="18">
        <v>60</v>
      </c>
      <c r="J35" t="s">
        <v>18</v>
      </c>
      <c r="K35" s="30">
        <v>1.16955371</v>
      </c>
      <c r="L35" s="8">
        <v>5</v>
      </c>
      <c r="M35" s="8">
        <v>7000</v>
      </c>
      <c r="N35" s="6" t="s">
        <v>962</v>
      </c>
      <c r="O35" s="6" t="s">
        <v>379</v>
      </c>
      <c r="P35" s="6" t="s">
        <v>1063</v>
      </c>
      <c r="Q35" t="s">
        <v>1067</v>
      </c>
      <c r="R35" t="s">
        <v>17</v>
      </c>
    </row>
    <row r="36" spans="1:18" x14ac:dyDescent="0.2">
      <c r="A36" s="6" t="s">
        <v>815</v>
      </c>
      <c r="B36" s="1">
        <v>43520</v>
      </c>
      <c r="C36" s="1">
        <v>43528</v>
      </c>
      <c r="D36" s="1">
        <v>43556</v>
      </c>
      <c r="E36" s="18">
        <v>28</v>
      </c>
      <c r="F36" s="18">
        <v>1</v>
      </c>
      <c r="G36" s="18">
        <v>3</v>
      </c>
      <c r="H36" s="18">
        <v>44</v>
      </c>
      <c r="I36" s="18">
        <v>28</v>
      </c>
      <c r="J36" t="s">
        <v>15</v>
      </c>
      <c r="K36" s="30">
        <v>1</v>
      </c>
      <c r="L36" s="8">
        <v>2060</v>
      </c>
      <c r="M36" s="8">
        <v>1500</v>
      </c>
      <c r="N36" s="6" t="s">
        <v>963</v>
      </c>
      <c r="O36" s="6" t="s">
        <v>513</v>
      </c>
      <c r="P36" s="6" t="s">
        <v>1064</v>
      </c>
      <c r="Q36" t="s">
        <v>1067</v>
      </c>
      <c r="R36" t="s">
        <v>16</v>
      </c>
    </row>
    <row r="37" spans="1:18" x14ac:dyDescent="0.2">
      <c r="A37" s="6" t="s">
        <v>816</v>
      </c>
      <c r="B37" s="1">
        <v>43522</v>
      </c>
      <c r="C37" s="1">
        <v>43543</v>
      </c>
      <c r="D37" s="1">
        <v>43563</v>
      </c>
      <c r="E37" s="18">
        <v>20</v>
      </c>
      <c r="F37" s="18">
        <v>2</v>
      </c>
      <c r="G37" s="18">
        <v>3</v>
      </c>
      <c r="H37" s="18">
        <v>473</v>
      </c>
      <c r="I37" s="18">
        <v>20</v>
      </c>
      <c r="J37" t="s">
        <v>15</v>
      </c>
      <c r="K37" s="30">
        <v>1</v>
      </c>
      <c r="L37" s="8">
        <v>34333</v>
      </c>
      <c r="M37" s="8">
        <v>28000</v>
      </c>
      <c r="N37" s="6" t="s">
        <v>964</v>
      </c>
      <c r="O37" s="6" t="s">
        <v>513</v>
      </c>
      <c r="P37" s="6" t="s">
        <v>1064</v>
      </c>
      <c r="Q37" t="s">
        <v>1067</v>
      </c>
      <c r="R37" t="s">
        <v>16</v>
      </c>
    </row>
    <row r="38" spans="1:18" x14ac:dyDescent="0.2">
      <c r="A38" s="6" t="s">
        <v>817</v>
      </c>
      <c r="B38" s="1">
        <v>43523</v>
      </c>
      <c r="C38" s="1">
        <v>43536</v>
      </c>
      <c r="D38" s="1">
        <v>43544</v>
      </c>
      <c r="E38" s="18">
        <v>8</v>
      </c>
      <c r="F38" s="18">
        <v>2</v>
      </c>
      <c r="G38" s="18">
        <v>3</v>
      </c>
      <c r="H38" s="18">
        <v>344</v>
      </c>
      <c r="I38" s="18">
        <v>8</v>
      </c>
      <c r="J38" t="s">
        <v>15</v>
      </c>
      <c r="K38" s="30">
        <v>1</v>
      </c>
      <c r="L38" s="8">
        <v>6372</v>
      </c>
      <c r="M38" s="8">
        <v>1000</v>
      </c>
      <c r="N38" s="6" t="s">
        <v>965</v>
      </c>
      <c r="O38" s="6" t="s">
        <v>513</v>
      </c>
      <c r="P38" s="6" t="s">
        <v>1064</v>
      </c>
      <c r="Q38" t="s">
        <v>1067</v>
      </c>
      <c r="R38" t="s">
        <v>16</v>
      </c>
    </row>
    <row r="39" spans="1:18" x14ac:dyDescent="0.2">
      <c r="A39" s="6" t="s">
        <v>818</v>
      </c>
      <c r="B39" s="1">
        <v>43528</v>
      </c>
      <c r="C39" s="1">
        <v>43536</v>
      </c>
      <c r="D39" s="1">
        <v>43552</v>
      </c>
      <c r="E39" s="18">
        <v>16</v>
      </c>
      <c r="F39" s="18">
        <v>2</v>
      </c>
      <c r="G39" s="18">
        <v>3</v>
      </c>
      <c r="H39" s="18">
        <v>212</v>
      </c>
      <c r="I39" s="18">
        <v>16</v>
      </c>
      <c r="J39" t="s">
        <v>15</v>
      </c>
      <c r="K39" s="30">
        <v>1</v>
      </c>
      <c r="L39" s="8">
        <v>17396</v>
      </c>
      <c r="M39" s="8">
        <v>10000</v>
      </c>
      <c r="N39" s="6" t="s">
        <v>941</v>
      </c>
      <c r="O39" s="6" t="s">
        <v>513</v>
      </c>
      <c r="P39" s="6" t="s">
        <v>1064</v>
      </c>
      <c r="Q39" t="s">
        <v>1067</v>
      </c>
      <c r="R39" t="s">
        <v>16</v>
      </c>
    </row>
    <row r="40" spans="1:18" x14ac:dyDescent="0.2">
      <c r="A40" s="6" t="s">
        <v>819</v>
      </c>
      <c r="B40" s="1">
        <v>43530</v>
      </c>
      <c r="C40" s="1">
        <v>43545</v>
      </c>
      <c r="D40" s="1">
        <v>43575</v>
      </c>
      <c r="E40" s="18">
        <v>30</v>
      </c>
      <c r="F40" s="18">
        <v>4</v>
      </c>
      <c r="G40" s="18">
        <v>3</v>
      </c>
      <c r="H40" s="18">
        <v>80</v>
      </c>
      <c r="I40" s="18">
        <v>30</v>
      </c>
      <c r="J40" t="s">
        <v>15</v>
      </c>
      <c r="K40" s="30">
        <v>1</v>
      </c>
      <c r="L40" s="8">
        <v>5815</v>
      </c>
      <c r="M40" s="8">
        <v>5550</v>
      </c>
      <c r="N40" s="6" t="s">
        <v>966</v>
      </c>
      <c r="O40" s="6" t="s">
        <v>513</v>
      </c>
      <c r="P40" s="6" t="s">
        <v>1065</v>
      </c>
      <c r="Q40" t="s">
        <v>1067</v>
      </c>
      <c r="R40" t="s">
        <v>16</v>
      </c>
    </row>
    <row r="41" spans="1:18" x14ac:dyDescent="0.2">
      <c r="A41" s="6" t="s">
        <v>820</v>
      </c>
      <c r="B41" s="1">
        <v>43533</v>
      </c>
      <c r="C41" s="1">
        <v>43556</v>
      </c>
      <c r="D41" s="1">
        <v>43585</v>
      </c>
      <c r="E41" s="18">
        <v>29</v>
      </c>
      <c r="F41" s="18">
        <v>1</v>
      </c>
      <c r="G41" s="18">
        <v>4</v>
      </c>
      <c r="H41" s="18">
        <v>1430</v>
      </c>
      <c r="I41" s="18">
        <v>29</v>
      </c>
      <c r="J41" t="s">
        <v>15</v>
      </c>
      <c r="K41" s="30">
        <v>1</v>
      </c>
      <c r="L41" s="8">
        <v>40642</v>
      </c>
      <c r="M41" s="8">
        <v>4200</v>
      </c>
      <c r="N41" s="6" t="s">
        <v>967</v>
      </c>
      <c r="O41" s="6" t="s">
        <v>513</v>
      </c>
      <c r="P41" s="6" t="s">
        <v>1064</v>
      </c>
      <c r="Q41" t="s">
        <v>1068</v>
      </c>
      <c r="R41" t="s">
        <v>16</v>
      </c>
    </row>
    <row r="42" spans="1:18" x14ac:dyDescent="0.2">
      <c r="A42" s="6" t="s">
        <v>821</v>
      </c>
      <c r="B42" s="1">
        <v>43533</v>
      </c>
      <c r="C42" s="1">
        <v>43586</v>
      </c>
      <c r="D42" s="1">
        <v>43606</v>
      </c>
      <c r="E42" s="18">
        <v>20</v>
      </c>
      <c r="F42" s="18">
        <v>3</v>
      </c>
      <c r="G42" s="18">
        <v>5</v>
      </c>
      <c r="H42" s="18">
        <v>1056</v>
      </c>
      <c r="I42" s="18">
        <v>20</v>
      </c>
      <c r="J42" t="s">
        <v>18</v>
      </c>
      <c r="K42" s="30">
        <v>1.16955371</v>
      </c>
      <c r="L42" s="8">
        <v>91430</v>
      </c>
      <c r="M42" s="8">
        <v>10000</v>
      </c>
      <c r="N42" s="6" t="s">
        <v>968</v>
      </c>
      <c r="O42" s="6" t="s">
        <v>379</v>
      </c>
      <c r="P42" s="6" t="s">
        <v>1064</v>
      </c>
      <c r="Q42" t="s">
        <v>1067</v>
      </c>
      <c r="R42" t="s">
        <v>16</v>
      </c>
    </row>
    <row r="43" spans="1:18" x14ac:dyDescent="0.2">
      <c r="A43" s="6" t="s">
        <v>822</v>
      </c>
      <c r="B43" s="1">
        <v>43534</v>
      </c>
      <c r="C43" s="1">
        <v>43537</v>
      </c>
      <c r="D43" s="1">
        <v>43597</v>
      </c>
      <c r="E43" s="18">
        <v>60</v>
      </c>
      <c r="F43" s="18">
        <v>3</v>
      </c>
      <c r="G43" s="18">
        <v>3</v>
      </c>
      <c r="H43" s="18">
        <v>2</v>
      </c>
      <c r="I43" s="18">
        <v>60</v>
      </c>
      <c r="J43" t="s">
        <v>15</v>
      </c>
      <c r="K43" s="30">
        <v>1</v>
      </c>
      <c r="L43" s="8">
        <v>2</v>
      </c>
      <c r="M43" s="8">
        <v>550000</v>
      </c>
      <c r="N43" s="6" t="s">
        <v>969</v>
      </c>
      <c r="O43" s="6" t="s">
        <v>513</v>
      </c>
      <c r="P43" s="6" t="s">
        <v>1062</v>
      </c>
      <c r="Q43" t="s">
        <v>1067</v>
      </c>
      <c r="R43" t="s">
        <v>17</v>
      </c>
    </row>
    <row r="44" spans="1:18" x14ac:dyDescent="0.2">
      <c r="A44" s="6" t="s">
        <v>823</v>
      </c>
      <c r="B44" s="1">
        <v>43539</v>
      </c>
      <c r="C44" s="1">
        <v>43550</v>
      </c>
      <c r="D44" s="1">
        <v>43561</v>
      </c>
      <c r="E44" s="18">
        <v>11</v>
      </c>
      <c r="F44" s="18">
        <v>2</v>
      </c>
      <c r="G44" s="18">
        <v>3</v>
      </c>
      <c r="H44" s="18">
        <v>617</v>
      </c>
      <c r="I44" s="18">
        <v>11</v>
      </c>
      <c r="J44" t="s">
        <v>15</v>
      </c>
      <c r="K44" s="30">
        <v>1</v>
      </c>
      <c r="L44" s="8">
        <v>9766</v>
      </c>
      <c r="M44" s="8">
        <v>1000</v>
      </c>
      <c r="N44" s="6" t="s">
        <v>970</v>
      </c>
      <c r="O44" s="6" t="s">
        <v>513</v>
      </c>
      <c r="P44" s="6" t="s">
        <v>1064</v>
      </c>
      <c r="Q44" t="s">
        <v>1067</v>
      </c>
      <c r="R44" t="s">
        <v>16</v>
      </c>
    </row>
    <row r="45" spans="1:18" x14ac:dyDescent="0.2">
      <c r="A45" s="6" t="s">
        <v>824</v>
      </c>
      <c r="B45" s="1">
        <v>43542</v>
      </c>
      <c r="C45" s="1">
        <v>43543</v>
      </c>
      <c r="D45" s="1">
        <v>43576</v>
      </c>
      <c r="E45" s="18">
        <v>33</v>
      </c>
      <c r="F45" s="18">
        <v>2</v>
      </c>
      <c r="G45" s="18">
        <v>3</v>
      </c>
      <c r="H45" s="18">
        <v>272</v>
      </c>
      <c r="I45" s="18">
        <v>33</v>
      </c>
      <c r="J45" t="s">
        <v>18</v>
      </c>
      <c r="K45" s="30">
        <v>1.16955371</v>
      </c>
      <c r="L45" s="8">
        <v>18077</v>
      </c>
      <c r="M45" s="8">
        <v>500</v>
      </c>
      <c r="N45" s="6" t="s">
        <v>971</v>
      </c>
      <c r="O45" s="6" t="s">
        <v>514</v>
      </c>
      <c r="P45" s="6" t="s">
        <v>1064</v>
      </c>
      <c r="Q45" t="s">
        <v>1067</v>
      </c>
      <c r="R45" t="s">
        <v>16</v>
      </c>
    </row>
    <row r="46" spans="1:18" x14ac:dyDescent="0.2">
      <c r="A46" s="6" t="s">
        <v>825</v>
      </c>
      <c r="B46" s="1">
        <v>43542</v>
      </c>
      <c r="C46" s="1">
        <v>43543</v>
      </c>
      <c r="D46" s="1">
        <v>43573</v>
      </c>
      <c r="E46" s="18">
        <v>30</v>
      </c>
      <c r="F46" s="18">
        <v>2</v>
      </c>
      <c r="G46" s="18">
        <v>3</v>
      </c>
      <c r="H46" s="18">
        <v>725</v>
      </c>
      <c r="I46" s="18">
        <v>30</v>
      </c>
      <c r="J46" t="s">
        <v>15</v>
      </c>
      <c r="K46" s="30">
        <v>1</v>
      </c>
      <c r="L46" s="8">
        <v>12400</v>
      </c>
      <c r="M46" s="8">
        <v>400</v>
      </c>
      <c r="N46" s="6" t="s">
        <v>972</v>
      </c>
      <c r="O46" s="6" t="s">
        <v>513</v>
      </c>
      <c r="P46" s="6" t="s">
        <v>1064</v>
      </c>
      <c r="Q46" t="s">
        <v>1067</v>
      </c>
      <c r="R46" t="s">
        <v>16</v>
      </c>
    </row>
    <row r="47" spans="1:18" x14ac:dyDescent="0.2">
      <c r="A47" s="6" t="s">
        <v>826</v>
      </c>
      <c r="B47" s="1">
        <v>43543</v>
      </c>
      <c r="C47" s="1">
        <v>43662</v>
      </c>
      <c r="D47" s="1">
        <v>43683</v>
      </c>
      <c r="E47" s="18">
        <v>21</v>
      </c>
      <c r="F47" s="18">
        <v>2</v>
      </c>
      <c r="G47" s="18">
        <v>7</v>
      </c>
      <c r="H47" s="18">
        <v>160</v>
      </c>
      <c r="I47" s="18">
        <v>21</v>
      </c>
      <c r="J47" t="s">
        <v>34</v>
      </c>
      <c r="K47" s="30">
        <v>0.12847297999999999</v>
      </c>
      <c r="L47" s="8">
        <v>11234</v>
      </c>
      <c r="M47" s="8">
        <v>30000</v>
      </c>
      <c r="N47" s="6" t="s">
        <v>973</v>
      </c>
      <c r="O47" s="6" t="s">
        <v>408</v>
      </c>
      <c r="P47" s="6" t="s">
        <v>1065</v>
      </c>
      <c r="Q47" t="s">
        <v>1067</v>
      </c>
      <c r="R47" t="s">
        <v>16</v>
      </c>
    </row>
    <row r="48" spans="1:18" x14ac:dyDescent="0.2">
      <c r="A48" s="6" t="s">
        <v>827</v>
      </c>
      <c r="B48" s="1">
        <v>43543</v>
      </c>
      <c r="C48" s="1">
        <v>43552</v>
      </c>
      <c r="D48" s="1">
        <v>43601</v>
      </c>
      <c r="E48" s="18">
        <v>49</v>
      </c>
      <c r="F48" s="18">
        <v>4</v>
      </c>
      <c r="G48" s="18">
        <v>3</v>
      </c>
      <c r="H48" s="18">
        <v>56</v>
      </c>
      <c r="I48" s="18">
        <v>49</v>
      </c>
      <c r="J48" t="s">
        <v>15</v>
      </c>
      <c r="K48" s="30">
        <v>1</v>
      </c>
      <c r="L48" s="8">
        <v>4047</v>
      </c>
      <c r="M48" s="8">
        <v>2500</v>
      </c>
      <c r="N48" s="6" t="s">
        <v>974</v>
      </c>
      <c r="O48" s="6" t="s">
        <v>513</v>
      </c>
      <c r="P48" s="6" t="s">
        <v>1064</v>
      </c>
      <c r="Q48" t="s">
        <v>1067</v>
      </c>
      <c r="R48" t="s">
        <v>16</v>
      </c>
    </row>
    <row r="49" spans="1:18" x14ac:dyDescent="0.2">
      <c r="A49" s="6" t="s">
        <v>828</v>
      </c>
      <c r="B49" s="1">
        <v>43545</v>
      </c>
      <c r="C49" s="1">
        <v>43557</v>
      </c>
      <c r="D49" s="1">
        <v>43587</v>
      </c>
      <c r="E49" s="18">
        <v>30</v>
      </c>
      <c r="F49" s="18">
        <v>2</v>
      </c>
      <c r="G49" s="18">
        <v>4</v>
      </c>
      <c r="H49" s="18">
        <v>78</v>
      </c>
      <c r="I49" s="18">
        <v>30</v>
      </c>
      <c r="J49" t="s">
        <v>15</v>
      </c>
      <c r="K49" s="30">
        <v>1</v>
      </c>
      <c r="L49" s="8">
        <v>2707</v>
      </c>
      <c r="M49" s="8">
        <v>1000</v>
      </c>
      <c r="N49" s="6" t="s">
        <v>975</v>
      </c>
      <c r="O49" s="6" t="s">
        <v>513</v>
      </c>
      <c r="P49" s="6" t="s">
        <v>1065</v>
      </c>
      <c r="Q49" t="s">
        <v>1067</v>
      </c>
      <c r="R49" t="s">
        <v>16</v>
      </c>
    </row>
    <row r="50" spans="1:18" x14ac:dyDescent="0.2">
      <c r="A50" s="6" t="s">
        <v>829</v>
      </c>
      <c r="B50" s="1">
        <v>43546</v>
      </c>
      <c r="C50" s="1">
        <v>43570</v>
      </c>
      <c r="D50" s="1">
        <v>43600</v>
      </c>
      <c r="E50" s="18">
        <v>30</v>
      </c>
      <c r="F50" s="18">
        <v>1</v>
      </c>
      <c r="G50" s="18">
        <v>4</v>
      </c>
      <c r="H50" s="18">
        <v>18</v>
      </c>
      <c r="I50" s="18">
        <v>30</v>
      </c>
      <c r="J50" t="s">
        <v>15</v>
      </c>
      <c r="K50" s="30">
        <v>1</v>
      </c>
      <c r="L50" s="8">
        <v>1154</v>
      </c>
      <c r="M50" s="8">
        <v>10000</v>
      </c>
      <c r="N50" s="6" t="s">
        <v>976</v>
      </c>
      <c r="O50" s="6" t="s">
        <v>513</v>
      </c>
      <c r="P50" s="6" t="s">
        <v>1065</v>
      </c>
      <c r="Q50" t="s">
        <v>1067</v>
      </c>
      <c r="R50" t="s">
        <v>17</v>
      </c>
    </row>
    <row r="51" spans="1:18" x14ac:dyDescent="0.2">
      <c r="A51" s="6" t="s">
        <v>830</v>
      </c>
      <c r="B51" s="1">
        <v>43550</v>
      </c>
      <c r="C51" s="1">
        <v>43552</v>
      </c>
      <c r="D51" s="1">
        <v>43572</v>
      </c>
      <c r="E51" s="18">
        <v>20</v>
      </c>
      <c r="F51" s="18">
        <v>4</v>
      </c>
      <c r="G51" s="18">
        <v>3</v>
      </c>
      <c r="H51" s="18">
        <v>96</v>
      </c>
      <c r="I51" s="18">
        <v>20</v>
      </c>
      <c r="J51" t="s">
        <v>15</v>
      </c>
      <c r="K51" s="30">
        <v>1</v>
      </c>
      <c r="L51" s="8">
        <v>2731</v>
      </c>
      <c r="M51" s="8">
        <v>1000</v>
      </c>
      <c r="N51" s="6" t="s">
        <v>977</v>
      </c>
      <c r="O51" s="6" t="s">
        <v>513</v>
      </c>
      <c r="P51" s="6" t="s">
        <v>1064</v>
      </c>
      <c r="Q51" t="s">
        <v>1067</v>
      </c>
      <c r="R51" t="s">
        <v>16</v>
      </c>
    </row>
    <row r="52" spans="1:18" x14ac:dyDescent="0.2">
      <c r="A52" s="6" t="s">
        <v>831</v>
      </c>
      <c r="B52" s="1">
        <v>43551</v>
      </c>
      <c r="C52" s="1">
        <v>43556</v>
      </c>
      <c r="D52" s="1">
        <v>43570</v>
      </c>
      <c r="E52" s="18">
        <v>14</v>
      </c>
      <c r="F52" s="18">
        <v>1</v>
      </c>
      <c r="G52" s="18">
        <v>4</v>
      </c>
      <c r="H52" s="18">
        <v>228</v>
      </c>
      <c r="I52" s="18">
        <v>14</v>
      </c>
      <c r="J52" t="s">
        <v>15</v>
      </c>
      <c r="K52" s="30">
        <v>1</v>
      </c>
      <c r="L52" s="8">
        <v>16047</v>
      </c>
      <c r="M52" s="8">
        <v>5000</v>
      </c>
      <c r="N52" s="6" t="s">
        <v>978</v>
      </c>
      <c r="O52" s="6" t="s">
        <v>513</v>
      </c>
      <c r="P52" s="6" t="s">
        <v>1064</v>
      </c>
      <c r="Q52" t="s">
        <v>1067</v>
      </c>
      <c r="R52" t="s">
        <v>16</v>
      </c>
    </row>
    <row r="53" spans="1:18" x14ac:dyDescent="0.2">
      <c r="A53" s="6" t="s">
        <v>832</v>
      </c>
      <c r="B53" s="1">
        <v>43553</v>
      </c>
      <c r="C53" s="1">
        <v>43605</v>
      </c>
      <c r="D53" s="1">
        <v>43635</v>
      </c>
      <c r="E53" s="18">
        <v>30</v>
      </c>
      <c r="F53" s="18">
        <v>1</v>
      </c>
      <c r="G53" s="18">
        <v>5</v>
      </c>
      <c r="H53" s="18">
        <v>157</v>
      </c>
      <c r="I53" s="18">
        <v>30</v>
      </c>
      <c r="J53" t="s">
        <v>19</v>
      </c>
      <c r="K53" s="30">
        <v>1.49576325</v>
      </c>
      <c r="L53" s="8">
        <v>6451</v>
      </c>
      <c r="M53" s="8">
        <v>3000</v>
      </c>
      <c r="N53" s="6" t="s">
        <v>979</v>
      </c>
      <c r="O53" s="6" t="s">
        <v>515</v>
      </c>
      <c r="P53" s="6" t="s">
        <v>1065</v>
      </c>
      <c r="Q53" t="s">
        <v>1067</v>
      </c>
      <c r="R53" t="s">
        <v>16</v>
      </c>
    </row>
    <row r="54" spans="1:18" x14ac:dyDescent="0.2">
      <c r="A54" s="6" t="s">
        <v>833</v>
      </c>
      <c r="B54" s="1">
        <v>43554</v>
      </c>
      <c r="C54" s="1">
        <v>43560</v>
      </c>
      <c r="D54" s="1">
        <v>43592</v>
      </c>
      <c r="E54" s="18">
        <v>32</v>
      </c>
      <c r="F54" s="18">
        <v>5</v>
      </c>
      <c r="G54" s="18">
        <v>4</v>
      </c>
      <c r="H54" s="18">
        <v>341</v>
      </c>
      <c r="I54" s="18">
        <v>32</v>
      </c>
      <c r="J54" t="s">
        <v>15</v>
      </c>
      <c r="K54" s="30">
        <v>1</v>
      </c>
      <c r="L54" s="8">
        <v>13032</v>
      </c>
      <c r="M54" s="8">
        <v>10000</v>
      </c>
      <c r="N54" s="6" t="s">
        <v>980</v>
      </c>
      <c r="O54" s="6" t="s">
        <v>513</v>
      </c>
      <c r="P54" s="6" t="s">
        <v>1064</v>
      </c>
      <c r="Q54" t="s">
        <v>1067</v>
      </c>
      <c r="R54" t="s">
        <v>16</v>
      </c>
    </row>
    <row r="55" spans="1:18" x14ac:dyDescent="0.2">
      <c r="A55" s="6" t="s">
        <v>834</v>
      </c>
      <c r="B55" s="1">
        <v>43556</v>
      </c>
      <c r="C55" s="1">
        <v>43561</v>
      </c>
      <c r="D55" s="1">
        <v>43576</v>
      </c>
      <c r="E55" s="18">
        <v>15</v>
      </c>
      <c r="F55" s="18">
        <v>6</v>
      </c>
      <c r="G55" s="18">
        <v>4</v>
      </c>
      <c r="H55" s="18">
        <v>7</v>
      </c>
      <c r="I55" s="18">
        <v>15</v>
      </c>
      <c r="J55" t="s">
        <v>18</v>
      </c>
      <c r="K55" s="30">
        <v>1.16955371</v>
      </c>
      <c r="L55" s="8">
        <v>230</v>
      </c>
      <c r="M55" s="8">
        <v>100</v>
      </c>
      <c r="N55" s="6" t="s">
        <v>981</v>
      </c>
      <c r="O55" s="6" t="s">
        <v>379</v>
      </c>
      <c r="P55" s="6" t="s">
        <v>1064</v>
      </c>
      <c r="Q55" t="s">
        <v>1067</v>
      </c>
      <c r="R55" t="s">
        <v>16</v>
      </c>
    </row>
    <row r="56" spans="1:18" x14ac:dyDescent="0.2">
      <c r="A56" s="6" t="s">
        <v>835</v>
      </c>
      <c r="B56" s="1">
        <v>43558</v>
      </c>
      <c r="C56" s="1">
        <v>43571</v>
      </c>
      <c r="D56" s="1">
        <v>43587</v>
      </c>
      <c r="E56" s="18">
        <v>16</v>
      </c>
      <c r="F56" s="18">
        <v>2</v>
      </c>
      <c r="G56" s="18">
        <v>4</v>
      </c>
      <c r="H56" s="18">
        <v>26004</v>
      </c>
      <c r="I56" s="18">
        <v>16</v>
      </c>
      <c r="J56" t="s">
        <v>15</v>
      </c>
      <c r="K56" s="30">
        <v>1</v>
      </c>
      <c r="L56" s="8">
        <v>1367901</v>
      </c>
      <c r="M56" s="8">
        <v>20000</v>
      </c>
      <c r="N56" s="6" t="s">
        <v>982</v>
      </c>
      <c r="O56" s="6" t="s">
        <v>513</v>
      </c>
      <c r="P56" s="6" t="s">
        <v>1064</v>
      </c>
      <c r="Q56" t="s">
        <v>1067</v>
      </c>
      <c r="R56" t="s">
        <v>16</v>
      </c>
    </row>
    <row r="57" spans="1:18" x14ac:dyDescent="0.2">
      <c r="A57" s="6" t="s">
        <v>836</v>
      </c>
      <c r="B57" s="1">
        <v>43564</v>
      </c>
      <c r="C57" s="1">
        <v>43578</v>
      </c>
      <c r="D57" s="1">
        <v>43608</v>
      </c>
      <c r="E57" s="18">
        <v>30</v>
      </c>
      <c r="F57" s="18">
        <v>2</v>
      </c>
      <c r="G57" s="18">
        <v>4</v>
      </c>
      <c r="H57" s="18">
        <v>71</v>
      </c>
      <c r="I57" s="18">
        <v>30</v>
      </c>
      <c r="J57" t="s">
        <v>15</v>
      </c>
      <c r="K57" s="30">
        <v>1</v>
      </c>
      <c r="L57" s="8">
        <v>1633</v>
      </c>
      <c r="M57" s="8">
        <v>7500</v>
      </c>
      <c r="N57" s="6" t="s">
        <v>983</v>
      </c>
      <c r="O57" s="6" t="s">
        <v>513</v>
      </c>
      <c r="P57" s="6" t="s">
        <v>1065</v>
      </c>
      <c r="Q57" t="s">
        <v>1067</v>
      </c>
      <c r="R57" t="s">
        <v>17</v>
      </c>
    </row>
    <row r="58" spans="1:18" x14ac:dyDescent="0.2">
      <c r="A58" s="6" t="s">
        <v>837</v>
      </c>
      <c r="B58" s="1">
        <v>43564</v>
      </c>
      <c r="C58" s="1">
        <v>43574</v>
      </c>
      <c r="D58" s="1">
        <v>43605</v>
      </c>
      <c r="E58" s="18">
        <v>31</v>
      </c>
      <c r="F58" s="18">
        <v>5</v>
      </c>
      <c r="G58" s="18">
        <v>4</v>
      </c>
      <c r="H58" s="18">
        <v>22</v>
      </c>
      <c r="I58" s="18">
        <v>31</v>
      </c>
      <c r="J58" t="s">
        <v>15</v>
      </c>
      <c r="K58" s="30">
        <v>1</v>
      </c>
      <c r="L58" s="8">
        <v>1364</v>
      </c>
      <c r="M58" s="8">
        <v>5000</v>
      </c>
      <c r="N58" s="6" t="s">
        <v>984</v>
      </c>
      <c r="O58" s="6" t="s">
        <v>513</v>
      </c>
      <c r="P58" s="6" t="s">
        <v>1066</v>
      </c>
      <c r="Q58" t="s">
        <v>1067</v>
      </c>
      <c r="R58" t="s">
        <v>17</v>
      </c>
    </row>
    <row r="59" spans="1:18" x14ac:dyDescent="0.2">
      <c r="A59" s="6" t="s">
        <v>838</v>
      </c>
      <c r="B59" s="1">
        <v>43566</v>
      </c>
      <c r="C59" s="1">
        <v>43572</v>
      </c>
      <c r="D59" s="1">
        <v>43602</v>
      </c>
      <c r="E59" s="18">
        <v>30</v>
      </c>
      <c r="F59" s="18">
        <v>3</v>
      </c>
      <c r="G59" s="18">
        <v>4</v>
      </c>
      <c r="H59" s="18">
        <v>319</v>
      </c>
      <c r="I59" s="18">
        <v>30</v>
      </c>
      <c r="J59" t="s">
        <v>15</v>
      </c>
      <c r="K59" s="30">
        <v>1</v>
      </c>
      <c r="L59" s="8">
        <v>27666</v>
      </c>
      <c r="M59" s="8">
        <v>10000</v>
      </c>
      <c r="N59" s="6" t="s">
        <v>985</v>
      </c>
      <c r="O59" s="6" t="s">
        <v>513</v>
      </c>
      <c r="P59" s="6" t="s">
        <v>1064</v>
      </c>
      <c r="Q59" t="s">
        <v>1067</v>
      </c>
      <c r="R59" t="s">
        <v>16</v>
      </c>
    </row>
    <row r="60" spans="1:18" x14ac:dyDescent="0.2">
      <c r="A60" s="6" t="s">
        <v>839</v>
      </c>
      <c r="B60" s="1">
        <v>43567</v>
      </c>
      <c r="C60" s="1">
        <v>43582</v>
      </c>
      <c r="D60" s="1">
        <v>43617</v>
      </c>
      <c r="E60" s="18">
        <v>35</v>
      </c>
      <c r="F60" s="18">
        <v>6</v>
      </c>
      <c r="G60" s="18">
        <v>4</v>
      </c>
      <c r="H60" s="18">
        <v>3</v>
      </c>
      <c r="I60" s="18">
        <v>35</v>
      </c>
      <c r="J60" t="s">
        <v>34</v>
      </c>
      <c r="K60" s="30">
        <v>0.12847297999999999</v>
      </c>
      <c r="L60" s="8">
        <v>5</v>
      </c>
      <c r="M60" s="8">
        <v>30000</v>
      </c>
      <c r="N60" s="6" t="s">
        <v>973</v>
      </c>
      <c r="O60" s="6" t="s">
        <v>408</v>
      </c>
      <c r="P60" s="6" t="s">
        <v>1063</v>
      </c>
      <c r="Q60" t="s">
        <v>1067</v>
      </c>
      <c r="R60" t="s">
        <v>17</v>
      </c>
    </row>
    <row r="61" spans="1:18" x14ac:dyDescent="0.2">
      <c r="A61" s="6" t="s">
        <v>840</v>
      </c>
      <c r="B61" s="1">
        <v>43570</v>
      </c>
      <c r="C61" s="1">
        <v>43603</v>
      </c>
      <c r="D61" s="1">
        <v>43623</v>
      </c>
      <c r="E61" s="18">
        <v>20</v>
      </c>
      <c r="F61" s="18">
        <v>6</v>
      </c>
      <c r="G61" s="18">
        <v>5</v>
      </c>
      <c r="H61" s="18">
        <v>193</v>
      </c>
      <c r="I61" s="18">
        <v>20</v>
      </c>
      <c r="J61" t="s">
        <v>15</v>
      </c>
      <c r="K61" s="30">
        <v>1</v>
      </c>
      <c r="L61" s="8">
        <v>10558</v>
      </c>
      <c r="M61" s="8">
        <v>4500</v>
      </c>
      <c r="N61" s="6" t="s">
        <v>986</v>
      </c>
      <c r="O61" s="6" t="s">
        <v>513</v>
      </c>
      <c r="P61" s="6" t="s">
        <v>1065</v>
      </c>
      <c r="Q61" t="s">
        <v>1067</v>
      </c>
      <c r="R61" t="s">
        <v>16</v>
      </c>
    </row>
    <row r="62" spans="1:18" x14ac:dyDescent="0.2">
      <c r="A62" s="6" t="s">
        <v>841</v>
      </c>
      <c r="B62" s="1">
        <v>43571</v>
      </c>
      <c r="C62" s="1">
        <v>43572</v>
      </c>
      <c r="D62" s="1">
        <v>43586</v>
      </c>
      <c r="E62" s="18">
        <v>14</v>
      </c>
      <c r="F62" s="18">
        <v>3</v>
      </c>
      <c r="G62" s="18">
        <v>4</v>
      </c>
      <c r="H62" s="18">
        <v>36</v>
      </c>
      <c r="I62" s="18">
        <v>14</v>
      </c>
      <c r="J62" t="s">
        <v>15</v>
      </c>
      <c r="K62" s="30">
        <v>1</v>
      </c>
      <c r="L62" s="8">
        <v>989</v>
      </c>
      <c r="M62" s="8">
        <v>500</v>
      </c>
      <c r="N62" s="6" t="s">
        <v>987</v>
      </c>
      <c r="O62" s="6" t="s">
        <v>513</v>
      </c>
      <c r="P62" s="6" t="s">
        <v>1064</v>
      </c>
      <c r="Q62" t="s">
        <v>1067</v>
      </c>
      <c r="R62" t="s">
        <v>16</v>
      </c>
    </row>
    <row r="63" spans="1:18" x14ac:dyDescent="0.2">
      <c r="A63" s="6" t="s">
        <v>842</v>
      </c>
      <c r="B63" s="1">
        <v>43574</v>
      </c>
      <c r="C63" s="1">
        <v>43641</v>
      </c>
      <c r="D63" s="1">
        <v>43661</v>
      </c>
      <c r="E63" s="18">
        <v>20</v>
      </c>
      <c r="F63" s="18">
        <v>2</v>
      </c>
      <c r="G63" s="18">
        <v>6</v>
      </c>
      <c r="H63" s="18">
        <v>208</v>
      </c>
      <c r="I63" s="18">
        <v>20</v>
      </c>
      <c r="J63" t="s">
        <v>15</v>
      </c>
      <c r="K63" s="30">
        <v>1</v>
      </c>
      <c r="L63" s="8">
        <v>4127</v>
      </c>
      <c r="M63" s="8">
        <v>1500</v>
      </c>
      <c r="N63" s="6" t="s">
        <v>988</v>
      </c>
      <c r="O63" s="6" t="s">
        <v>513</v>
      </c>
      <c r="P63" s="6" t="s">
        <v>1064</v>
      </c>
      <c r="Q63" t="s">
        <v>1067</v>
      </c>
      <c r="R63" t="s">
        <v>16</v>
      </c>
    </row>
    <row r="64" spans="1:18" x14ac:dyDescent="0.2">
      <c r="A64" s="6" t="s">
        <v>843</v>
      </c>
      <c r="B64" s="1">
        <v>43574</v>
      </c>
      <c r="C64" s="1">
        <v>43586</v>
      </c>
      <c r="D64" s="1">
        <v>43611</v>
      </c>
      <c r="E64" s="18">
        <v>25</v>
      </c>
      <c r="F64" s="18">
        <v>3</v>
      </c>
      <c r="G64" s="18">
        <v>5</v>
      </c>
      <c r="H64" s="18">
        <v>893</v>
      </c>
      <c r="I64" s="18">
        <v>25</v>
      </c>
      <c r="J64" t="s">
        <v>18</v>
      </c>
      <c r="K64" s="30">
        <v>1.16955371</v>
      </c>
      <c r="L64" s="8">
        <v>52111</v>
      </c>
      <c r="M64" s="8">
        <v>28000</v>
      </c>
      <c r="N64" s="6" t="s">
        <v>989</v>
      </c>
      <c r="O64" s="6" t="s">
        <v>519</v>
      </c>
      <c r="P64" s="6" t="s">
        <v>1064</v>
      </c>
      <c r="Q64" t="s">
        <v>1067</v>
      </c>
      <c r="R64" t="s">
        <v>16</v>
      </c>
    </row>
    <row r="65" spans="1:18" x14ac:dyDescent="0.2">
      <c r="A65" s="6" t="s">
        <v>844</v>
      </c>
      <c r="B65" s="1">
        <v>43575</v>
      </c>
      <c r="C65" s="1">
        <v>43593</v>
      </c>
      <c r="D65" s="1">
        <v>43623</v>
      </c>
      <c r="E65" s="18">
        <v>30</v>
      </c>
      <c r="F65" s="18">
        <v>3</v>
      </c>
      <c r="G65" s="18">
        <v>5</v>
      </c>
      <c r="H65" s="18">
        <v>23</v>
      </c>
      <c r="I65" s="18">
        <v>30</v>
      </c>
      <c r="J65" t="s">
        <v>15</v>
      </c>
      <c r="K65" s="30">
        <v>1</v>
      </c>
      <c r="L65" s="8">
        <v>1966</v>
      </c>
      <c r="M65" s="8">
        <v>75000</v>
      </c>
      <c r="N65" s="6" t="s">
        <v>990</v>
      </c>
      <c r="O65" s="6" t="s">
        <v>513</v>
      </c>
      <c r="P65" s="6" t="s">
        <v>1062</v>
      </c>
      <c r="Q65" t="s">
        <v>1067</v>
      </c>
      <c r="R65" t="s">
        <v>17</v>
      </c>
    </row>
    <row r="66" spans="1:18" x14ac:dyDescent="0.2">
      <c r="A66" s="6" t="s">
        <v>845</v>
      </c>
      <c r="B66" s="1">
        <v>43575</v>
      </c>
      <c r="C66" s="1">
        <v>43586</v>
      </c>
      <c r="D66" s="1">
        <v>43622</v>
      </c>
      <c r="E66" s="18">
        <v>36</v>
      </c>
      <c r="F66" s="18">
        <v>3</v>
      </c>
      <c r="G66" s="18">
        <v>5</v>
      </c>
      <c r="H66" s="18">
        <v>1273</v>
      </c>
      <c r="I66" s="18">
        <v>36</v>
      </c>
      <c r="J66" t="s">
        <v>15</v>
      </c>
      <c r="K66" s="30">
        <v>1</v>
      </c>
      <c r="L66" s="8">
        <v>166304</v>
      </c>
      <c r="M66" s="8">
        <v>15000</v>
      </c>
      <c r="N66" s="6" t="s">
        <v>991</v>
      </c>
      <c r="O66" s="6" t="s">
        <v>513</v>
      </c>
      <c r="P66" s="6" t="s">
        <v>1064</v>
      </c>
      <c r="Q66" t="s">
        <v>1067</v>
      </c>
      <c r="R66" t="s">
        <v>16</v>
      </c>
    </row>
    <row r="67" spans="1:18" x14ac:dyDescent="0.2">
      <c r="A67" s="6" t="s">
        <v>846</v>
      </c>
      <c r="B67" s="1">
        <v>43576</v>
      </c>
      <c r="C67" s="1">
        <v>43586</v>
      </c>
      <c r="D67" s="1">
        <v>43616</v>
      </c>
      <c r="E67" s="18">
        <v>30</v>
      </c>
      <c r="F67" s="18">
        <v>3</v>
      </c>
      <c r="G67" s="18">
        <v>5</v>
      </c>
      <c r="H67" s="18">
        <v>36</v>
      </c>
      <c r="I67" s="18">
        <v>30</v>
      </c>
      <c r="J67" t="s">
        <v>15</v>
      </c>
      <c r="K67" s="30">
        <v>1</v>
      </c>
      <c r="L67" s="8">
        <v>3511</v>
      </c>
      <c r="M67" s="8">
        <v>2000</v>
      </c>
      <c r="N67" s="6" t="s">
        <v>992</v>
      </c>
      <c r="O67" s="6" t="s">
        <v>513</v>
      </c>
      <c r="P67" s="6" t="s">
        <v>1066</v>
      </c>
      <c r="Q67" t="s">
        <v>1067</v>
      </c>
      <c r="R67" t="s">
        <v>16</v>
      </c>
    </row>
    <row r="68" spans="1:18" x14ac:dyDescent="0.2">
      <c r="A68" s="6" t="s">
        <v>847</v>
      </c>
      <c r="B68" s="1">
        <v>43579</v>
      </c>
      <c r="C68" s="1">
        <v>43640</v>
      </c>
      <c r="D68" s="1">
        <v>43685</v>
      </c>
      <c r="E68" s="18">
        <v>45</v>
      </c>
      <c r="F68" s="18">
        <v>1</v>
      </c>
      <c r="G68" s="18">
        <v>6</v>
      </c>
      <c r="H68" s="18">
        <v>8504</v>
      </c>
      <c r="I68" s="18">
        <v>45</v>
      </c>
      <c r="J68" t="s">
        <v>28</v>
      </c>
      <c r="K68" s="30">
        <v>0.11943536</v>
      </c>
      <c r="L68" s="8">
        <v>423044</v>
      </c>
      <c r="M68" s="8">
        <v>1079668</v>
      </c>
      <c r="N68" s="6" t="s">
        <v>993</v>
      </c>
      <c r="O68" s="6" t="s">
        <v>1057</v>
      </c>
      <c r="P68" s="6" t="s">
        <v>1064</v>
      </c>
      <c r="Q68" t="s">
        <v>1067</v>
      </c>
      <c r="R68" t="s">
        <v>16</v>
      </c>
    </row>
    <row r="69" spans="1:18" x14ac:dyDescent="0.2">
      <c r="A69" s="6" t="s">
        <v>848</v>
      </c>
      <c r="B69" s="1">
        <v>43580</v>
      </c>
      <c r="C69" s="1">
        <v>43599</v>
      </c>
      <c r="D69" s="1">
        <v>43623</v>
      </c>
      <c r="E69" s="18">
        <v>24</v>
      </c>
      <c r="F69" s="18">
        <v>2</v>
      </c>
      <c r="G69" s="18">
        <v>5</v>
      </c>
      <c r="H69" s="18">
        <v>2848</v>
      </c>
      <c r="I69" s="18">
        <v>24</v>
      </c>
      <c r="J69" t="s">
        <v>15</v>
      </c>
      <c r="K69" s="30">
        <v>1</v>
      </c>
      <c r="L69" s="8">
        <v>136726</v>
      </c>
      <c r="M69" s="8">
        <v>5000</v>
      </c>
      <c r="N69" s="6" t="s">
        <v>994</v>
      </c>
      <c r="O69" s="6" t="s">
        <v>513</v>
      </c>
      <c r="P69" s="6" t="s">
        <v>1064</v>
      </c>
      <c r="Q69" t="s">
        <v>1067</v>
      </c>
      <c r="R69" t="s">
        <v>16</v>
      </c>
    </row>
    <row r="70" spans="1:18" x14ac:dyDescent="0.2">
      <c r="A70" s="6" t="s">
        <v>849</v>
      </c>
      <c r="B70" s="1">
        <v>43581</v>
      </c>
      <c r="C70" s="1">
        <v>43647</v>
      </c>
      <c r="D70" s="1">
        <v>43677</v>
      </c>
      <c r="E70" s="18">
        <v>30</v>
      </c>
      <c r="F70" s="18">
        <v>1</v>
      </c>
      <c r="G70" s="18">
        <v>7</v>
      </c>
      <c r="H70" s="18">
        <v>307</v>
      </c>
      <c r="I70" s="18">
        <v>30</v>
      </c>
      <c r="J70" t="s">
        <v>15</v>
      </c>
      <c r="K70" s="30">
        <v>1</v>
      </c>
      <c r="L70" s="8">
        <v>5363</v>
      </c>
      <c r="M70" s="8">
        <v>1000</v>
      </c>
      <c r="N70" s="6" t="s">
        <v>995</v>
      </c>
      <c r="O70" s="6" t="s">
        <v>513</v>
      </c>
      <c r="P70" s="6" t="s">
        <v>1064</v>
      </c>
      <c r="Q70" t="s">
        <v>1067</v>
      </c>
      <c r="R70" t="s">
        <v>16</v>
      </c>
    </row>
    <row r="71" spans="1:18" x14ac:dyDescent="0.2">
      <c r="A71" s="6" t="s">
        <v>850</v>
      </c>
      <c r="B71" s="1">
        <v>43584</v>
      </c>
      <c r="C71" s="1">
        <v>43586</v>
      </c>
      <c r="D71" s="1">
        <v>43616</v>
      </c>
      <c r="E71" s="18">
        <v>30</v>
      </c>
      <c r="F71" s="18">
        <v>3</v>
      </c>
      <c r="G71" s="18">
        <v>5</v>
      </c>
      <c r="H71" s="18">
        <v>173</v>
      </c>
      <c r="I71" s="18">
        <v>30</v>
      </c>
      <c r="J71" t="s">
        <v>15</v>
      </c>
      <c r="K71" s="30">
        <v>1</v>
      </c>
      <c r="L71" s="8">
        <v>1737</v>
      </c>
      <c r="M71" s="8">
        <v>1000</v>
      </c>
      <c r="N71" s="6" t="s">
        <v>990</v>
      </c>
      <c r="O71" s="6" t="s">
        <v>513</v>
      </c>
      <c r="P71" s="6" t="s">
        <v>1064</v>
      </c>
      <c r="Q71" t="s">
        <v>1067</v>
      </c>
      <c r="R71" t="s">
        <v>16</v>
      </c>
    </row>
    <row r="72" spans="1:18" x14ac:dyDescent="0.2">
      <c r="A72" s="6" t="s">
        <v>851</v>
      </c>
      <c r="B72" s="1">
        <v>43584</v>
      </c>
      <c r="C72" s="1">
        <v>43689</v>
      </c>
      <c r="D72" s="1">
        <v>43719</v>
      </c>
      <c r="E72" s="18">
        <v>30</v>
      </c>
      <c r="F72" s="18">
        <v>1</v>
      </c>
      <c r="G72" s="18">
        <v>8</v>
      </c>
      <c r="H72" s="18">
        <v>11</v>
      </c>
      <c r="I72" s="18">
        <v>30</v>
      </c>
      <c r="J72" t="s">
        <v>19</v>
      </c>
      <c r="K72" s="30">
        <v>1.49576325</v>
      </c>
      <c r="L72" s="8">
        <v>121</v>
      </c>
      <c r="M72" s="8">
        <v>20</v>
      </c>
      <c r="N72" s="6" t="s">
        <v>960</v>
      </c>
      <c r="O72" s="6" t="s">
        <v>515</v>
      </c>
      <c r="P72" s="6" t="s">
        <v>1064</v>
      </c>
      <c r="Q72" t="s">
        <v>1067</v>
      </c>
      <c r="R72" t="s">
        <v>16</v>
      </c>
    </row>
    <row r="73" spans="1:18" x14ac:dyDescent="0.2">
      <c r="A73" s="6" t="s">
        <v>852</v>
      </c>
      <c r="B73" s="1">
        <v>43587</v>
      </c>
      <c r="C73" s="1">
        <v>43774</v>
      </c>
      <c r="D73" s="1">
        <v>43805</v>
      </c>
      <c r="E73" s="18">
        <v>31</v>
      </c>
      <c r="F73" s="18">
        <v>2</v>
      </c>
      <c r="G73" s="18">
        <v>11</v>
      </c>
      <c r="H73" s="18">
        <v>23</v>
      </c>
      <c r="I73" s="18">
        <v>31</v>
      </c>
      <c r="J73" t="s">
        <v>15</v>
      </c>
      <c r="K73" s="30">
        <v>1</v>
      </c>
      <c r="L73" s="8">
        <v>607</v>
      </c>
      <c r="M73" s="8">
        <v>1500</v>
      </c>
      <c r="N73" s="6" t="s">
        <v>964</v>
      </c>
      <c r="O73" s="6" t="s">
        <v>513</v>
      </c>
      <c r="P73" s="6" t="s">
        <v>1064</v>
      </c>
      <c r="Q73" t="s">
        <v>1067</v>
      </c>
      <c r="R73" t="s">
        <v>20</v>
      </c>
    </row>
    <row r="74" spans="1:18" x14ac:dyDescent="0.2">
      <c r="A74" s="6" t="s">
        <v>853</v>
      </c>
      <c r="B74" s="1">
        <v>43588</v>
      </c>
      <c r="C74" s="1">
        <v>43599</v>
      </c>
      <c r="D74" s="1">
        <v>43629</v>
      </c>
      <c r="E74" s="18">
        <v>30</v>
      </c>
      <c r="F74" s="18">
        <v>2</v>
      </c>
      <c r="G74" s="18">
        <v>5</v>
      </c>
      <c r="H74" s="18">
        <v>350</v>
      </c>
      <c r="I74" s="18">
        <v>30</v>
      </c>
      <c r="J74" t="s">
        <v>15</v>
      </c>
      <c r="K74" s="30">
        <v>1</v>
      </c>
      <c r="L74" s="8">
        <v>24500</v>
      </c>
      <c r="M74" s="8">
        <v>400</v>
      </c>
      <c r="N74" s="6" t="s">
        <v>996</v>
      </c>
      <c r="O74" s="6" t="s">
        <v>513</v>
      </c>
      <c r="P74" s="6" t="s">
        <v>1064</v>
      </c>
      <c r="Q74" t="s">
        <v>1067</v>
      </c>
      <c r="R74" t="s">
        <v>16</v>
      </c>
    </row>
    <row r="75" spans="1:18" x14ac:dyDescent="0.2">
      <c r="A75" s="6" t="s">
        <v>854</v>
      </c>
      <c r="B75" s="1">
        <v>43598</v>
      </c>
      <c r="C75" s="1">
        <v>43605</v>
      </c>
      <c r="D75" s="1">
        <v>43635</v>
      </c>
      <c r="E75" s="18">
        <v>30</v>
      </c>
      <c r="F75" s="18">
        <v>1</v>
      </c>
      <c r="G75" s="18">
        <v>5</v>
      </c>
      <c r="H75" s="18">
        <v>10</v>
      </c>
      <c r="I75" s="18">
        <v>30</v>
      </c>
      <c r="J75" t="s">
        <v>19</v>
      </c>
      <c r="K75" s="30">
        <v>1.49576325</v>
      </c>
      <c r="L75" s="8">
        <v>600</v>
      </c>
      <c r="M75" s="8">
        <v>3000</v>
      </c>
      <c r="N75" s="6" t="s">
        <v>997</v>
      </c>
      <c r="O75" s="6" t="s">
        <v>515</v>
      </c>
      <c r="P75" s="6" t="s">
        <v>1063</v>
      </c>
      <c r="Q75" t="s">
        <v>1067</v>
      </c>
      <c r="R75" t="s">
        <v>17</v>
      </c>
    </row>
    <row r="76" spans="1:18" x14ac:dyDescent="0.2">
      <c r="A76" s="6" t="s">
        <v>855</v>
      </c>
      <c r="B76" s="1">
        <v>43601</v>
      </c>
      <c r="C76" s="1">
        <v>43606</v>
      </c>
      <c r="D76" s="1">
        <v>43636</v>
      </c>
      <c r="E76" s="18">
        <v>30</v>
      </c>
      <c r="F76" s="18">
        <v>2</v>
      </c>
      <c r="G76" s="18">
        <v>5</v>
      </c>
      <c r="H76" s="18">
        <v>12</v>
      </c>
      <c r="I76" s="18">
        <v>30</v>
      </c>
      <c r="J76" t="s">
        <v>33</v>
      </c>
      <c r="K76" s="30">
        <v>0.70150824000000001</v>
      </c>
      <c r="L76" s="8">
        <v>287</v>
      </c>
      <c r="M76" s="8">
        <v>300</v>
      </c>
      <c r="N76" s="6" t="s">
        <v>946</v>
      </c>
      <c r="O76" s="6" t="s">
        <v>405</v>
      </c>
      <c r="P76" s="6" t="s">
        <v>1065</v>
      </c>
      <c r="Q76" t="s">
        <v>1067</v>
      </c>
      <c r="R76" t="s">
        <v>16</v>
      </c>
    </row>
    <row r="77" spans="1:18" x14ac:dyDescent="0.2">
      <c r="A77" s="6" t="s">
        <v>856</v>
      </c>
      <c r="B77" s="1">
        <v>43601</v>
      </c>
      <c r="C77" s="1">
        <v>43638</v>
      </c>
      <c r="D77" s="1">
        <v>43668</v>
      </c>
      <c r="E77" s="18">
        <v>30</v>
      </c>
      <c r="F77" s="18">
        <v>6</v>
      </c>
      <c r="G77" s="18">
        <v>6</v>
      </c>
      <c r="H77" s="18">
        <v>27</v>
      </c>
      <c r="I77" s="18">
        <v>30</v>
      </c>
      <c r="J77" t="s">
        <v>15</v>
      </c>
      <c r="K77" s="30">
        <v>1</v>
      </c>
      <c r="L77" s="8">
        <v>1275</v>
      </c>
      <c r="M77" s="8">
        <v>1000</v>
      </c>
      <c r="N77" s="6" t="s">
        <v>998</v>
      </c>
      <c r="O77" s="6" t="s">
        <v>513</v>
      </c>
      <c r="P77" s="6" t="s">
        <v>1064</v>
      </c>
      <c r="Q77" t="s">
        <v>1067</v>
      </c>
      <c r="R77" t="s">
        <v>16</v>
      </c>
    </row>
    <row r="78" spans="1:18" x14ac:dyDescent="0.2">
      <c r="A78" s="6" t="s">
        <v>857</v>
      </c>
      <c r="B78" s="1">
        <v>43607</v>
      </c>
      <c r="C78" s="1">
        <v>43630</v>
      </c>
      <c r="D78" s="1">
        <v>43660</v>
      </c>
      <c r="E78" s="18">
        <v>30</v>
      </c>
      <c r="F78" s="18">
        <v>5</v>
      </c>
      <c r="G78" s="18">
        <v>6</v>
      </c>
      <c r="H78" s="18">
        <v>132</v>
      </c>
      <c r="I78" s="18">
        <v>30</v>
      </c>
      <c r="J78" t="s">
        <v>15</v>
      </c>
      <c r="K78" s="30">
        <v>1</v>
      </c>
      <c r="L78" s="8">
        <v>3208</v>
      </c>
      <c r="M78" s="8">
        <v>12000</v>
      </c>
      <c r="N78" s="6" t="s">
        <v>999</v>
      </c>
      <c r="O78" s="6" t="s">
        <v>513</v>
      </c>
      <c r="P78" s="6" t="s">
        <v>1065</v>
      </c>
      <c r="Q78" t="s">
        <v>1068</v>
      </c>
      <c r="R78" t="s">
        <v>17</v>
      </c>
    </row>
    <row r="79" spans="1:18" x14ac:dyDescent="0.2">
      <c r="A79" s="6" t="s">
        <v>858</v>
      </c>
      <c r="B79" s="1">
        <v>43609</v>
      </c>
      <c r="C79" s="1">
        <v>43634</v>
      </c>
      <c r="D79" s="1">
        <v>43649</v>
      </c>
      <c r="E79" s="18">
        <v>15</v>
      </c>
      <c r="F79" s="18">
        <v>2</v>
      </c>
      <c r="G79" s="18">
        <v>6</v>
      </c>
      <c r="H79" s="18">
        <v>5229</v>
      </c>
      <c r="I79" s="18">
        <v>15</v>
      </c>
      <c r="J79" t="s">
        <v>22</v>
      </c>
      <c r="K79" s="30">
        <v>0.76932900999999998</v>
      </c>
      <c r="L79" s="8">
        <v>204035</v>
      </c>
      <c r="M79" s="8">
        <v>36500</v>
      </c>
      <c r="N79" s="6" t="s">
        <v>1000</v>
      </c>
      <c r="O79" s="6" t="s">
        <v>517</v>
      </c>
      <c r="P79" s="6" t="s">
        <v>1064</v>
      </c>
      <c r="Q79" t="s">
        <v>1067</v>
      </c>
      <c r="R79" t="s">
        <v>16</v>
      </c>
    </row>
    <row r="80" spans="1:18" x14ac:dyDescent="0.2">
      <c r="A80" s="6" t="s">
        <v>859</v>
      </c>
      <c r="B80" s="1">
        <v>43611</v>
      </c>
      <c r="C80" s="1">
        <v>43629</v>
      </c>
      <c r="D80" s="1">
        <v>43689</v>
      </c>
      <c r="E80" s="18">
        <v>60</v>
      </c>
      <c r="F80" s="18">
        <v>4</v>
      </c>
      <c r="G80" s="18">
        <v>6</v>
      </c>
      <c r="H80" s="18">
        <v>16</v>
      </c>
      <c r="I80" s="18">
        <v>60</v>
      </c>
      <c r="J80" t="s">
        <v>15</v>
      </c>
      <c r="K80" s="30">
        <v>1</v>
      </c>
      <c r="L80" s="8">
        <v>1612</v>
      </c>
      <c r="M80" s="8">
        <v>10000</v>
      </c>
      <c r="N80" s="6" t="s">
        <v>1001</v>
      </c>
      <c r="O80" s="6" t="s">
        <v>513</v>
      </c>
      <c r="P80" s="6" t="s">
        <v>1065</v>
      </c>
      <c r="Q80" t="s">
        <v>1067</v>
      </c>
      <c r="R80" t="s">
        <v>17</v>
      </c>
    </row>
    <row r="81" spans="1:18" x14ac:dyDescent="0.2">
      <c r="A81" s="6" t="s">
        <v>860</v>
      </c>
      <c r="B81" s="1">
        <v>43614</v>
      </c>
      <c r="C81" s="1">
        <v>43675</v>
      </c>
      <c r="D81" s="1">
        <v>43720</v>
      </c>
      <c r="E81" s="18">
        <v>45</v>
      </c>
      <c r="F81" s="18">
        <v>1</v>
      </c>
      <c r="G81" s="18">
        <v>7</v>
      </c>
      <c r="H81" s="18">
        <v>1</v>
      </c>
      <c r="I81" s="18">
        <v>45</v>
      </c>
      <c r="J81" t="s">
        <v>18</v>
      </c>
      <c r="K81" s="30">
        <v>1.16955371</v>
      </c>
      <c r="L81" s="8">
        <v>1</v>
      </c>
      <c r="M81" s="8">
        <v>1000</v>
      </c>
      <c r="N81" s="6" t="s">
        <v>1002</v>
      </c>
      <c r="O81" s="6" t="s">
        <v>520</v>
      </c>
      <c r="P81" s="6" t="s">
        <v>1066</v>
      </c>
      <c r="Q81" t="s">
        <v>1067</v>
      </c>
      <c r="R81" t="s">
        <v>17</v>
      </c>
    </row>
    <row r="82" spans="1:18" x14ac:dyDescent="0.2">
      <c r="A82" s="6" t="s">
        <v>861</v>
      </c>
      <c r="B82" s="1">
        <v>43621</v>
      </c>
      <c r="C82" s="1">
        <v>43626</v>
      </c>
      <c r="D82" s="1">
        <v>43640</v>
      </c>
      <c r="E82" s="18">
        <v>14</v>
      </c>
      <c r="F82" s="18">
        <v>1</v>
      </c>
      <c r="G82" s="18">
        <v>6</v>
      </c>
      <c r="H82" s="18">
        <v>144</v>
      </c>
      <c r="I82" s="18">
        <v>14</v>
      </c>
      <c r="J82" t="s">
        <v>18</v>
      </c>
      <c r="K82" s="30">
        <v>1.16955371</v>
      </c>
      <c r="L82" s="8">
        <v>7119</v>
      </c>
      <c r="M82" s="8">
        <v>2000</v>
      </c>
      <c r="N82" s="6" t="s">
        <v>1003</v>
      </c>
      <c r="O82" s="6" t="s">
        <v>489</v>
      </c>
      <c r="P82" s="6" t="s">
        <v>1064</v>
      </c>
      <c r="Q82" t="s">
        <v>1067</v>
      </c>
      <c r="R82" t="s">
        <v>16</v>
      </c>
    </row>
    <row r="83" spans="1:18" x14ac:dyDescent="0.2">
      <c r="A83" s="6" t="s">
        <v>862</v>
      </c>
      <c r="B83" s="1">
        <v>43627</v>
      </c>
      <c r="C83" s="1">
        <v>43718</v>
      </c>
      <c r="D83" s="1">
        <v>43736</v>
      </c>
      <c r="E83" s="18">
        <v>18</v>
      </c>
      <c r="F83" s="18">
        <v>2</v>
      </c>
      <c r="G83" s="18">
        <v>9</v>
      </c>
      <c r="H83" s="18">
        <v>611</v>
      </c>
      <c r="I83" s="18">
        <v>18</v>
      </c>
      <c r="J83" t="s">
        <v>15</v>
      </c>
      <c r="K83" s="30">
        <v>1</v>
      </c>
      <c r="L83" s="8">
        <v>15805</v>
      </c>
      <c r="M83" s="8">
        <v>15000</v>
      </c>
      <c r="N83" s="6" t="s">
        <v>1004</v>
      </c>
      <c r="O83" s="6" t="s">
        <v>513</v>
      </c>
      <c r="P83" s="6" t="s">
        <v>1064</v>
      </c>
      <c r="Q83" t="s">
        <v>1067</v>
      </c>
      <c r="R83" t="s">
        <v>16</v>
      </c>
    </row>
    <row r="84" spans="1:18" x14ac:dyDescent="0.2">
      <c r="A84" s="6" t="s">
        <v>863</v>
      </c>
      <c r="B84" s="1">
        <v>43631</v>
      </c>
      <c r="C84" s="1">
        <v>43632</v>
      </c>
      <c r="D84" s="1">
        <v>43662</v>
      </c>
      <c r="E84" s="18">
        <v>30</v>
      </c>
      <c r="F84" s="18">
        <v>7</v>
      </c>
      <c r="G84" s="18">
        <v>6</v>
      </c>
      <c r="H84" s="18">
        <v>230</v>
      </c>
      <c r="I84" s="18">
        <v>30</v>
      </c>
      <c r="J84" t="s">
        <v>15</v>
      </c>
      <c r="K84" s="30">
        <v>1</v>
      </c>
      <c r="L84" s="8">
        <v>8927</v>
      </c>
      <c r="M84" s="8">
        <v>1000</v>
      </c>
      <c r="N84" s="6" t="s">
        <v>1005</v>
      </c>
      <c r="O84" s="6" t="s">
        <v>513</v>
      </c>
      <c r="P84" s="6" t="s">
        <v>1064</v>
      </c>
      <c r="Q84" t="s">
        <v>1067</v>
      </c>
      <c r="R84" t="s">
        <v>16</v>
      </c>
    </row>
    <row r="85" spans="1:18" x14ac:dyDescent="0.2">
      <c r="A85" s="6" t="s">
        <v>864</v>
      </c>
      <c r="B85" s="1">
        <v>43633</v>
      </c>
      <c r="C85" s="1">
        <v>43655</v>
      </c>
      <c r="D85" s="1">
        <v>43700</v>
      </c>
      <c r="E85" s="18">
        <v>45</v>
      </c>
      <c r="F85" s="18">
        <v>2</v>
      </c>
      <c r="G85" s="18">
        <v>7</v>
      </c>
      <c r="H85" s="18">
        <v>5698</v>
      </c>
      <c r="I85" s="18">
        <v>45</v>
      </c>
      <c r="J85" t="s">
        <v>15</v>
      </c>
      <c r="K85" s="30">
        <v>1</v>
      </c>
      <c r="L85" s="8">
        <v>358133</v>
      </c>
      <c r="M85" s="8">
        <v>75000</v>
      </c>
      <c r="N85" s="6" t="s">
        <v>1006</v>
      </c>
      <c r="O85" s="6" t="s">
        <v>513</v>
      </c>
      <c r="P85" s="6" t="s">
        <v>1064</v>
      </c>
      <c r="Q85" t="s">
        <v>1067</v>
      </c>
      <c r="R85" t="s">
        <v>16</v>
      </c>
    </row>
    <row r="86" spans="1:18" x14ac:dyDescent="0.2">
      <c r="A86" s="6" t="s">
        <v>865</v>
      </c>
      <c r="B86" s="1">
        <v>43633</v>
      </c>
      <c r="C86" s="1">
        <v>43648</v>
      </c>
      <c r="D86" s="1">
        <v>43686</v>
      </c>
      <c r="E86" s="18">
        <v>38</v>
      </c>
      <c r="F86" s="18">
        <v>2</v>
      </c>
      <c r="G86" s="18">
        <v>7</v>
      </c>
      <c r="H86" s="18">
        <v>702</v>
      </c>
      <c r="I86" s="18">
        <v>38</v>
      </c>
      <c r="J86" t="s">
        <v>19</v>
      </c>
      <c r="K86" s="30">
        <v>1.49576325</v>
      </c>
      <c r="L86" s="8">
        <v>46156</v>
      </c>
      <c r="M86" s="8">
        <v>17000</v>
      </c>
      <c r="N86" s="6" t="s">
        <v>960</v>
      </c>
      <c r="O86" s="6" t="s">
        <v>515</v>
      </c>
      <c r="P86" s="6" t="s">
        <v>1064</v>
      </c>
      <c r="Q86" t="s">
        <v>1067</v>
      </c>
      <c r="R86" t="s">
        <v>16</v>
      </c>
    </row>
    <row r="87" spans="1:18" x14ac:dyDescent="0.2">
      <c r="A87" s="6" t="s">
        <v>866</v>
      </c>
      <c r="B87" s="1">
        <v>43636</v>
      </c>
      <c r="C87" s="1">
        <v>43661</v>
      </c>
      <c r="D87" s="1">
        <v>43685</v>
      </c>
      <c r="E87" s="18">
        <v>24</v>
      </c>
      <c r="F87" s="18">
        <v>1</v>
      </c>
      <c r="G87" s="18">
        <v>7</v>
      </c>
      <c r="H87" s="18">
        <v>139</v>
      </c>
      <c r="I87" s="18">
        <v>24</v>
      </c>
      <c r="J87" t="s">
        <v>15</v>
      </c>
      <c r="K87" s="30">
        <v>1</v>
      </c>
      <c r="L87" s="8">
        <v>8522</v>
      </c>
      <c r="M87" s="8">
        <v>5000</v>
      </c>
      <c r="N87" s="6" t="s">
        <v>1007</v>
      </c>
      <c r="O87" s="6" t="s">
        <v>513</v>
      </c>
      <c r="P87" s="6" t="s">
        <v>1064</v>
      </c>
      <c r="Q87" t="s">
        <v>1067</v>
      </c>
      <c r="R87" t="s">
        <v>16</v>
      </c>
    </row>
    <row r="88" spans="1:18" x14ac:dyDescent="0.2">
      <c r="A88" s="6" t="s">
        <v>867</v>
      </c>
      <c r="B88" s="1">
        <v>43638</v>
      </c>
      <c r="C88" s="1">
        <v>43655</v>
      </c>
      <c r="D88" s="1">
        <v>43685</v>
      </c>
      <c r="E88" s="18">
        <v>30</v>
      </c>
      <c r="F88" s="18">
        <v>2</v>
      </c>
      <c r="G88" s="18">
        <v>7</v>
      </c>
      <c r="H88" s="18">
        <v>253</v>
      </c>
      <c r="I88" s="18">
        <v>30</v>
      </c>
      <c r="J88" t="s">
        <v>15</v>
      </c>
      <c r="K88" s="30">
        <v>1</v>
      </c>
      <c r="L88" s="8">
        <v>13565</v>
      </c>
      <c r="M88" s="8">
        <v>8000</v>
      </c>
      <c r="N88" s="6" t="s">
        <v>1008</v>
      </c>
      <c r="O88" s="6" t="s">
        <v>1058</v>
      </c>
      <c r="P88" s="6" t="s">
        <v>1065</v>
      </c>
      <c r="Q88" t="s">
        <v>1067</v>
      </c>
      <c r="R88" t="s">
        <v>16</v>
      </c>
    </row>
    <row r="89" spans="1:18" x14ac:dyDescent="0.2">
      <c r="A89" s="6" t="s">
        <v>868</v>
      </c>
      <c r="B89" s="1">
        <v>43639</v>
      </c>
      <c r="C89" s="1">
        <v>43640</v>
      </c>
      <c r="D89" s="1">
        <v>43660</v>
      </c>
      <c r="E89" s="18">
        <v>20</v>
      </c>
      <c r="F89" s="18">
        <v>1</v>
      </c>
      <c r="G89" s="18">
        <v>6</v>
      </c>
      <c r="H89" s="18">
        <v>31</v>
      </c>
      <c r="I89" s="18">
        <v>20</v>
      </c>
      <c r="J89" t="s">
        <v>19</v>
      </c>
      <c r="K89" s="30">
        <v>1.49576325</v>
      </c>
      <c r="L89" s="8">
        <v>1219</v>
      </c>
      <c r="M89" s="8">
        <v>800</v>
      </c>
      <c r="N89" s="6" t="s">
        <v>1009</v>
      </c>
      <c r="O89" s="6" t="s">
        <v>513</v>
      </c>
      <c r="P89" s="6" t="s">
        <v>1062</v>
      </c>
      <c r="Q89" t="s">
        <v>1067</v>
      </c>
      <c r="R89" t="s">
        <v>16</v>
      </c>
    </row>
    <row r="90" spans="1:18" x14ac:dyDescent="0.2">
      <c r="A90" s="6" t="s">
        <v>869</v>
      </c>
      <c r="B90" s="1">
        <v>43641</v>
      </c>
      <c r="C90" s="1">
        <v>43676</v>
      </c>
      <c r="D90" s="1">
        <v>43704</v>
      </c>
      <c r="E90" s="18">
        <v>28</v>
      </c>
      <c r="F90" s="18">
        <v>2</v>
      </c>
      <c r="G90" s="18">
        <v>7</v>
      </c>
      <c r="H90" s="18">
        <v>219</v>
      </c>
      <c r="I90" s="18">
        <v>28</v>
      </c>
      <c r="J90" t="s">
        <v>15</v>
      </c>
      <c r="K90" s="30">
        <v>1</v>
      </c>
      <c r="L90" s="8">
        <v>1057</v>
      </c>
      <c r="M90" s="8">
        <v>250</v>
      </c>
      <c r="N90" s="6" t="s">
        <v>985</v>
      </c>
      <c r="O90" s="6" t="s">
        <v>513</v>
      </c>
      <c r="P90" s="6" t="s">
        <v>1064</v>
      </c>
      <c r="Q90" t="s">
        <v>1067</v>
      </c>
      <c r="R90" t="s">
        <v>16</v>
      </c>
    </row>
    <row r="91" spans="1:18" x14ac:dyDescent="0.2">
      <c r="A91" s="6" t="s">
        <v>870</v>
      </c>
      <c r="B91" s="1">
        <v>43648</v>
      </c>
      <c r="C91" s="1">
        <v>43774</v>
      </c>
      <c r="D91" s="1">
        <v>43796</v>
      </c>
      <c r="E91" s="18">
        <v>22</v>
      </c>
      <c r="F91" s="18">
        <v>2</v>
      </c>
      <c r="G91" s="18">
        <v>11</v>
      </c>
      <c r="H91" s="18">
        <v>712</v>
      </c>
      <c r="I91" s="18">
        <v>22</v>
      </c>
      <c r="J91" t="s">
        <v>15</v>
      </c>
      <c r="K91" s="30">
        <v>1</v>
      </c>
      <c r="L91" s="8">
        <v>37048</v>
      </c>
      <c r="M91" s="8">
        <v>23000</v>
      </c>
      <c r="N91" s="6" t="s">
        <v>1010</v>
      </c>
      <c r="O91" s="6" t="s">
        <v>513</v>
      </c>
      <c r="P91" s="6" t="s">
        <v>1064</v>
      </c>
      <c r="Q91" t="s">
        <v>1067</v>
      </c>
      <c r="R91" t="s">
        <v>20</v>
      </c>
    </row>
    <row r="92" spans="1:18" x14ac:dyDescent="0.2">
      <c r="A92" s="6" t="s">
        <v>871</v>
      </c>
      <c r="B92" s="1">
        <v>43649</v>
      </c>
      <c r="C92" s="1">
        <v>43693</v>
      </c>
      <c r="D92" s="1">
        <v>43724</v>
      </c>
      <c r="E92" s="18">
        <v>31</v>
      </c>
      <c r="F92" s="18">
        <v>5</v>
      </c>
      <c r="G92" s="18">
        <v>8</v>
      </c>
      <c r="H92" s="18">
        <v>620</v>
      </c>
      <c r="I92" s="18">
        <v>31</v>
      </c>
      <c r="J92" t="s">
        <v>19</v>
      </c>
      <c r="K92" s="30">
        <v>1.49576325</v>
      </c>
      <c r="L92" s="8">
        <v>36271</v>
      </c>
      <c r="M92" s="8">
        <v>1000</v>
      </c>
      <c r="N92" s="6" t="s">
        <v>1011</v>
      </c>
      <c r="O92" s="6" t="s">
        <v>515</v>
      </c>
      <c r="P92" s="6" t="s">
        <v>1064</v>
      </c>
      <c r="Q92" t="s">
        <v>1067</v>
      </c>
      <c r="R92" t="s">
        <v>16</v>
      </c>
    </row>
    <row r="93" spans="1:18" x14ac:dyDescent="0.2">
      <c r="A93" s="6" t="s">
        <v>872</v>
      </c>
      <c r="B93" s="1">
        <v>43649</v>
      </c>
      <c r="C93" s="1">
        <v>43781</v>
      </c>
      <c r="D93" s="1">
        <v>43809</v>
      </c>
      <c r="E93" s="18">
        <v>28</v>
      </c>
      <c r="F93" s="18">
        <v>2</v>
      </c>
      <c r="G93" s="18">
        <v>11</v>
      </c>
      <c r="H93" s="18">
        <v>77</v>
      </c>
      <c r="I93" s="18">
        <v>28</v>
      </c>
      <c r="J93" t="s">
        <v>18</v>
      </c>
      <c r="K93" s="30">
        <v>1.16955371</v>
      </c>
      <c r="L93" s="8">
        <v>1650</v>
      </c>
      <c r="M93" s="8">
        <v>500</v>
      </c>
      <c r="N93" s="6" t="s">
        <v>1012</v>
      </c>
      <c r="O93" s="6" t="s">
        <v>514</v>
      </c>
      <c r="P93" s="6" t="s">
        <v>1064</v>
      </c>
      <c r="Q93" t="s">
        <v>1067</v>
      </c>
      <c r="R93" t="s">
        <v>20</v>
      </c>
    </row>
    <row r="94" spans="1:18" x14ac:dyDescent="0.2">
      <c r="A94" s="6" t="s">
        <v>873</v>
      </c>
      <c r="B94" s="1">
        <v>43649</v>
      </c>
      <c r="C94" s="1">
        <v>43709</v>
      </c>
      <c r="D94" s="1">
        <v>43737</v>
      </c>
      <c r="E94" s="18">
        <v>28</v>
      </c>
      <c r="F94" s="18">
        <v>7</v>
      </c>
      <c r="G94" s="18">
        <v>9</v>
      </c>
      <c r="H94" s="18">
        <v>812</v>
      </c>
      <c r="I94" s="18">
        <v>28</v>
      </c>
      <c r="J94" t="s">
        <v>15</v>
      </c>
      <c r="K94" s="30">
        <v>1</v>
      </c>
      <c r="L94" s="8">
        <v>45701</v>
      </c>
      <c r="M94" s="8">
        <v>5000</v>
      </c>
      <c r="N94" s="6" t="s">
        <v>1013</v>
      </c>
      <c r="O94" s="6" t="s">
        <v>513</v>
      </c>
      <c r="P94" s="6" t="s">
        <v>1064</v>
      </c>
      <c r="Q94" t="s">
        <v>1067</v>
      </c>
      <c r="R94" t="s">
        <v>16</v>
      </c>
    </row>
    <row r="95" spans="1:18" x14ac:dyDescent="0.2">
      <c r="A95" s="6" t="s">
        <v>874</v>
      </c>
      <c r="B95" s="1">
        <v>43650</v>
      </c>
      <c r="C95" s="1">
        <v>43756</v>
      </c>
      <c r="D95" s="1">
        <v>43786</v>
      </c>
      <c r="E95" s="18">
        <v>30</v>
      </c>
      <c r="F95" s="18">
        <v>5</v>
      </c>
      <c r="G95" s="18">
        <v>10</v>
      </c>
      <c r="H95" s="18">
        <v>15</v>
      </c>
      <c r="I95" s="18">
        <v>30</v>
      </c>
      <c r="J95" t="s">
        <v>15</v>
      </c>
      <c r="K95" s="30">
        <v>1</v>
      </c>
      <c r="L95" s="8">
        <v>915</v>
      </c>
      <c r="M95" s="8">
        <v>7500</v>
      </c>
      <c r="N95" s="6" t="s">
        <v>1014</v>
      </c>
      <c r="O95" s="6" t="s">
        <v>513</v>
      </c>
      <c r="P95" s="6" t="s">
        <v>1064</v>
      </c>
      <c r="Q95" t="s">
        <v>1067</v>
      </c>
      <c r="R95" t="s">
        <v>20</v>
      </c>
    </row>
    <row r="96" spans="1:18" x14ac:dyDescent="0.2">
      <c r="A96" s="6" t="s">
        <v>875</v>
      </c>
      <c r="B96" s="1">
        <v>43650</v>
      </c>
      <c r="C96" s="1">
        <v>43767</v>
      </c>
      <c r="D96" s="1">
        <v>43791</v>
      </c>
      <c r="E96" s="18">
        <v>24</v>
      </c>
      <c r="F96" s="18">
        <v>2</v>
      </c>
      <c r="G96" s="18">
        <v>10</v>
      </c>
      <c r="H96" s="18">
        <v>42</v>
      </c>
      <c r="I96" s="18">
        <v>24</v>
      </c>
      <c r="J96" t="s">
        <v>22</v>
      </c>
      <c r="K96" s="30">
        <v>0.76932900999999998</v>
      </c>
      <c r="L96" s="8">
        <v>1373</v>
      </c>
      <c r="M96" s="8">
        <v>9000</v>
      </c>
      <c r="N96" s="6" t="s">
        <v>1000</v>
      </c>
      <c r="O96" s="6" t="s">
        <v>517</v>
      </c>
      <c r="P96" s="6" t="s">
        <v>1064</v>
      </c>
      <c r="Q96" t="s">
        <v>1067</v>
      </c>
      <c r="R96" t="s">
        <v>20</v>
      </c>
    </row>
    <row r="97" spans="1:18" x14ac:dyDescent="0.2">
      <c r="A97" s="6" t="s">
        <v>876</v>
      </c>
      <c r="B97" s="1">
        <v>43651</v>
      </c>
      <c r="C97" s="1">
        <v>43734</v>
      </c>
      <c r="D97" s="1">
        <v>43764</v>
      </c>
      <c r="E97" s="18">
        <v>30</v>
      </c>
      <c r="F97" s="18">
        <v>4</v>
      </c>
      <c r="G97" s="18">
        <v>9</v>
      </c>
      <c r="H97" s="18">
        <v>314</v>
      </c>
      <c r="I97" s="18">
        <v>30</v>
      </c>
      <c r="J97" t="s">
        <v>15</v>
      </c>
      <c r="K97" s="30">
        <v>1</v>
      </c>
      <c r="L97" s="8">
        <v>58293</v>
      </c>
      <c r="M97" s="8">
        <v>5000</v>
      </c>
      <c r="N97" s="6" t="s">
        <v>1015</v>
      </c>
      <c r="O97" s="6" t="s">
        <v>513</v>
      </c>
      <c r="P97" s="6" t="s">
        <v>1064</v>
      </c>
      <c r="Q97" t="s">
        <v>1067</v>
      </c>
      <c r="R97" t="s">
        <v>16</v>
      </c>
    </row>
    <row r="98" spans="1:18" x14ac:dyDescent="0.2">
      <c r="A98" s="6" t="s">
        <v>877</v>
      </c>
      <c r="B98" s="1">
        <v>43654</v>
      </c>
      <c r="C98" s="1">
        <v>43725</v>
      </c>
      <c r="D98" s="1">
        <v>43755</v>
      </c>
      <c r="E98" s="18">
        <v>30</v>
      </c>
      <c r="F98" s="18">
        <v>2</v>
      </c>
      <c r="G98" s="18">
        <v>9</v>
      </c>
      <c r="H98" s="18">
        <v>30</v>
      </c>
      <c r="I98" s="18">
        <v>30</v>
      </c>
      <c r="J98" t="s">
        <v>15</v>
      </c>
      <c r="K98" s="30">
        <v>1</v>
      </c>
      <c r="L98" s="8">
        <v>2123</v>
      </c>
      <c r="M98" s="8">
        <v>1000</v>
      </c>
      <c r="N98" s="6" t="s">
        <v>1016</v>
      </c>
      <c r="O98" s="6" t="s">
        <v>513</v>
      </c>
      <c r="P98" s="6" t="s">
        <v>1064</v>
      </c>
      <c r="Q98" t="s">
        <v>1067</v>
      </c>
      <c r="R98" t="s">
        <v>16</v>
      </c>
    </row>
    <row r="99" spans="1:18" x14ac:dyDescent="0.2">
      <c r="A99" s="6" t="s">
        <v>878</v>
      </c>
      <c r="B99" s="1">
        <v>43661</v>
      </c>
      <c r="C99" s="1">
        <v>43668</v>
      </c>
      <c r="D99" s="1">
        <v>43695</v>
      </c>
      <c r="E99" s="18">
        <v>27</v>
      </c>
      <c r="F99" s="18">
        <v>1</v>
      </c>
      <c r="G99" s="18">
        <v>7</v>
      </c>
      <c r="H99" s="18">
        <v>160</v>
      </c>
      <c r="I99" s="18">
        <v>27</v>
      </c>
      <c r="J99" t="s">
        <v>18</v>
      </c>
      <c r="K99" s="30">
        <v>1.16955371</v>
      </c>
      <c r="L99" s="8">
        <v>11498</v>
      </c>
      <c r="M99" s="8">
        <v>1000</v>
      </c>
      <c r="N99" s="6" t="s">
        <v>971</v>
      </c>
      <c r="O99" s="6" t="s">
        <v>514</v>
      </c>
      <c r="P99" s="6" t="s">
        <v>1064</v>
      </c>
      <c r="Q99" t="s">
        <v>1067</v>
      </c>
      <c r="R99" t="s">
        <v>16</v>
      </c>
    </row>
    <row r="100" spans="1:18" x14ac:dyDescent="0.2">
      <c r="A100" s="6" t="s">
        <v>879</v>
      </c>
      <c r="B100" s="1">
        <v>43661</v>
      </c>
      <c r="C100" s="1">
        <v>43725</v>
      </c>
      <c r="D100" s="1">
        <v>43749</v>
      </c>
      <c r="E100" s="18">
        <v>24</v>
      </c>
      <c r="F100" s="18">
        <v>2</v>
      </c>
      <c r="G100" s="18">
        <v>9</v>
      </c>
      <c r="H100" s="18">
        <v>306</v>
      </c>
      <c r="I100" s="18">
        <v>24</v>
      </c>
      <c r="J100" t="s">
        <v>15</v>
      </c>
      <c r="K100" s="30">
        <v>1</v>
      </c>
      <c r="L100" s="8">
        <v>5585</v>
      </c>
      <c r="M100" s="8">
        <v>1000</v>
      </c>
      <c r="N100" s="6" t="s">
        <v>1017</v>
      </c>
      <c r="O100" s="6" t="s">
        <v>513</v>
      </c>
      <c r="P100" s="6" t="s">
        <v>1064</v>
      </c>
      <c r="Q100" t="s">
        <v>1067</v>
      </c>
      <c r="R100" t="s">
        <v>16</v>
      </c>
    </row>
    <row r="101" spans="1:18" x14ac:dyDescent="0.2">
      <c r="A101" s="6" t="s">
        <v>880</v>
      </c>
      <c r="B101" s="1">
        <v>43662</v>
      </c>
      <c r="C101" s="1">
        <v>43774</v>
      </c>
      <c r="D101" s="1">
        <v>43797</v>
      </c>
      <c r="E101" s="18">
        <v>23</v>
      </c>
      <c r="F101" s="18">
        <v>2</v>
      </c>
      <c r="G101" s="18">
        <v>11</v>
      </c>
      <c r="H101" s="18">
        <v>1609</v>
      </c>
      <c r="I101" s="18">
        <v>23</v>
      </c>
      <c r="J101" t="s">
        <v>19</v>
      </c>
      <c r="K101" s="30">
        <v>1.49576325</v>
      </c>
      <c r="L101" s="8">
        <v>204288</v>
      </c>
      <c r="M101" s="8">
        <v>80000</v>
      </c>
      <c r="N101" s="6" t="s">
        <v>1018</v>
      </c>
      <c r="O101" s="6" t="s">
        <v>1059</v>
      </c>
      <c r="P101" s="6" t="s">
        <v>1064</v>
      </c>
      <c r="Q101" t="s">
        <v>1067</v>
      </c>
      <c r="R101" t="s">
        <v>20</v>
      </c>
    </row>
    <row r="102" spans="1:18" x14ac:dyDescent="0.2">
      <c r="A102" s="6" t="s">
        <v>881</v>
      </c>
      <c r="B102" s="1">
        <v>43663</v>
      </c>
      <c r="C102" s="1">
        <v>43663</v>
      </c>
      <c r="D102" s="1">
        <v>43683</v>
      </c>
      <c r="E102" s="18">
        <v>20</v>
      </c>
      <c r="F102" s="18">
        <v>3</v>
      </c>
      <c r="G102" s="18">
        <v>7</v>
      </c>
      <c r="H102" s="18">
        <v>7</v>
      </c>
      <c r="I102" s="18">
        <v>20</v>
      </c>
      <c r="J102" t="s">
        <v>18</v>
      </c>
      <c r="K102" s="30">
        <v>1.16955371</v>
      </c>
      <c r="L102" s="8">
        <v>1174</v>
      </c>
      <c r="M102" s="8">
        <v>1000</v>
      </c>
      <c r="N102" s="6" t="s">
        <v>1019</v>
      </c>
      <c r="O102" s="6" t="s">
        <v>514</v>
      </c>
      <c r="P102" s="6" t="s">
        <v>1062</v>
      </c>
      <c r="Q102" t="s">
        <v>1067</v>
      </c>
      <c r="R102" t="s">
        <v>24</v>
      </c>
    </row>
    <row r="103" spans="1:18" x14ac:dyDescent="0.2">
      <c r="A103" s="6" t="s">
        <v>882</v>
      </c>
      <c r="B103" s="1">
        <v>43663</v>
      </c>
      <c r="C103" s="1">
        <v>43683</v>
      </c>
      <c r="D103" s="1">
        <v>43704</v>
      </c>
      <c r="E103" s="18">
        <v>21</v>
      </c>
      <c r="F103" s="18">
        <v>2</v>
      </c>
      <c r="G103" s="18">
        <v>8</v>
      </c>
      <c r="H103" s="18">
        <v>482</v>
      </c>
      <c r="I103" s="18">
        <v>21</v>
      </c>
      <c r="J103" t="s">
        <v>19</v>
      </c>
      <c r="K103" s="30">
        <v>1.49576325</v>
      </c>
      <c r="L103" s="8">
        <v>16548</v>
      </c>
      <c r="M103" s="8">
        <v>2000</v>
      </c>
      <c r="N103" s="6" t="s">
        <v>1020</v>
      </c>
      <c r="O103" s="6" t="s">
        <v>1059</v>
      </c>
      <c r="P103" s="6" t="s">
        <v>1064</v>
      </c>
      <c r="Q103" t="s">
        <v>1067</v>
      </c>
      <c r="R103" t="s">
        <v>16</v>
      </c>
    </row>
    <row r="104" spans="1:18" x14ac:dyDescent="0.2">
      <c r="A104" s="6" t="s">
        <v>883</v>
      </c>
      <c r="B104" s="1">
        <v>43667</v>
      </c>
      <c r="C104" s="1">
        <v>43677</v>
      </c>
      <c r="D104" s="1">
        <v>43698</v>
      </c>
      <c r="E104" s="18">
        <v>21</v>
      </c>
      <c r="F104" s="18">
        <v>3</v>
      </c>
      <c r="G104" s="18">
        <v>7</v>
      </c>
      <c r="H104" s="18">
        <v>183</v>
      </c>
      <c r="I104" s="18">
        <v>21</v>
      </c>
      <c r="J104" t="s">
        <v>34</v>
      </c>
      <c r="K104" s="30">
        <v>0.12847297999999999</v>
      </c>
      <c r="L104" s="8">
        <v>3106</v>
      </c>
      <c r="M104" s="8">
        <v>3000</v>
      </c>
      <c r="N104" s="6" t="s">
        <v>973</v>
      </c>
      <c r="O104" s="6" t="s">
        <v>408</v>
      </c>
      <c r="P104" s="6" t="s">
        <v>1064</v>
      </c>
      <c r="Q104" t="s">
        <v>1067</v>
      </c>
      <c r="R104" t="s">
        <v>16</v>
      </c>
    </row>
    <row r="105" spans="1:18" x14ac:dyDescent="0.2">
      <c r="A105" s="6" t="s">
        <v>884</v>
      </c>
      <c r="B105" s="1">
        <v>43670</v>
      </c>
      <c r="C105" s="1">
        <v>43693</v>
      </c>
      <c r="D105" s="1">
        <v>43711</v>
      </c>
      <c r="E105" s="18">
        <v>18</v>
      </c>
      <c r="F105" s="18">
        <v>5</v>
      </c>
      <c r="G105" s="18">
        <v>8</v>
      </c>
      <c r="H105" s="18">
        <v>29</v>
      </c>
      <c r="I105" s="18">
        <v>18</v>
      </c>
      <c r="J105" t="s">
        <v>15</v>
      </c>
      <c r="K105" s="30">
        <v>1</v>
      </c>
      <c r="L105" s="8">
        <v>2612</v>
      </c>
      <c r="M105" s="8">
        <v>650</v>
      </c>
      <c r="N105" s="6" t="s">
        <v>1021</v>
      </c>
      <c r="O105" s="6" t="s">
        <v>513</v>
      </c>
      <c r="P105" s="6" t="s">
        <v>1064</v>
      </c>
      <c r="Q105" t="s">
        <v>1067</v>
      </c>
      <c r="R105" t="s">
        <v>16</v>
      </c>
    </row>
    <row r="106" spans="1:18" x14ac:dyDescent="0.2">
      <c r="A106" s="6" t="s">
        <v>885</v>
      </c>
      <c r="B106" s="1">
        <v>43670</v>
      </c>
      <c r="C106" s="1">
        <v>43676</v>
      </c>
      <c r="D106" s="1">
        <v>43690</v>
      </c>
      <c r="E106" s="18">
        <v>14</v>
      </c>
      <c r="F106" s="18">
        <v>2</v>
      </c>
      <c r="G106" s="18">
        <v>7</v>
      </c>
      <c r="H106" s="18">
        <v>102</v>
      </c>
      <c r="I106" s="18">
        <v>14</v>
      </c>
      <c r="J106" t="s">
        <v>15</v>
      </c>
      <c r="K106" s="30">
        <v>1</v>
      </c>
      <c r="L106" s="8">
        <v>2145</v>
      </c>
      <c r="M106" s="8">
        <v>500</v>
      </c>
      <c r="N106" s="6" t="s">
        <v>1022</v>
      </c>
      <c r="O106" s="6" t="s">
        <v>513</v>
      </c>
      <c r="P106" s="6" t="s">
        <v>1064</v>
      </c>
      <c r="Q106" t="s">
        <v>1067</v>
      </c>
      <c r="R106" t="s">
        <v>16</v>
      </c>
    </row>
    <row r="107" spans="1:18" x14ac:dyDescent="0.2">
      <c r="A107" s="6" t="s">
        <v>886</v>
      </c>
      <c r="B107" s="1">
        <v>43671</v>
      </c>
      <c r="C107" s="1">
        <v>43690</v>
      </c>
      <c r="D107" s="1">
        <v>43735</v>
      </c>
      <c r="E107" s="18">
        <v>45</v>
      </c>
      <c r="F107" s="18">
        <v>2</v>
      </c>
      <c r="G107" s="18">
        <v>8</v>
      </c>
      <c r="H107" s="18">
        <v>26</v>
      </c>
      <c r="I107" s="18">
        <v>45</v>
      </c>
      <c r="J107" t="s">
        <v>22</v>
      </c>
      <c r="K107" s="30">
        <v>0.76932900999999998</v>
      </c>
      <c r="L107" s="8">
        <v>1098</v>
      </c>
      <c r="M107" s="8">
        <v>20000</v>
      </c>
      <c r="N107" s="6" t="s">
        <v>1023</v>
      </c>
      <c r="O107" s="6" t="s">
        <v>517</v>
      </c>
      <c r="P107" s="6" t="s">
        <v>1062</v>
      </c>
      <c r="Q107" t="s">
        <v>1067</v>
      </c>
      <c r="R107" t="s">
        <v>17</v>
      </c>
    </row>
    <row r="108" spans="1:18" x14ac:dyDescent="0.2">
      <c r="A108" s="6" t="s">
        <v>887</v>
      </c>
      <c r="B108" s="1">
        <v>43672</v>
      </c>
      <c r="C108" s="1">
        <v>43682</v>
      </c>
      <c r="D108" s="1">
        <v>43690</v>
      </c>
      <c r="E108" s="18">
        <v>8</v>
      </c>
      <c r="F108" s="18">
        <v>1</v>
      </c>
      <c r="G108" s="18">
        <v>8</v>
      </c>
      <c r="H108" s="18">
        <v>17</v>
      </c>
      <c r="I108" s="18">
        <v>8</v>
      </c>
      <c r="J108" t="s">
        <v>19</v>
      </c>
      <c r="K108" s="30">
        <v>1.49576325</v>
      </c>
      <c r="L108" s="8">
        <v>549</v>
      </c>
      <c r="M108" s="8">
        <v>20</v>
      </c>
      <c r="N108" s="6" t="s">
        <v>1024</v>
      </c>
      <c r="O108" s="6" t="s">
        <v>515</v>
      </c>
      <c r="P108" s="6" t="s">
        <v>1064</v>
      </c>
      <c r="Q108" t="s">
        <v>1067</v>
      </c>
      <c r="R108" t="s">
        <v>16</v>
      </c>
    </row>
    <row r="109" spans="1:18" x14ac:dyDescent="0.2">
      <c r="A109" s="6" t="s">
        <v>888</v>
      </c>
      <c r="B109" s="1">
        <v>43675</v>
      </c>
      <c r="C109" s="1">
        <v>43709</v>
      </c>
      <c r="D109" s="1">
        <v>43739</v>
      </c>
      <c r="E109" s="18">
        <v>30</v>
      </c>
      <c r="F109" s="18">
        <v>7</v>
      </c>
      <c r="G109" s="18">
        <v>9</v>
      </c>
      <c r="H109" s="18">
        <v>105</v>
      </c>
      <c r="I109" s="18">
        <v>30</v>
      </c>
      <c r="J109" t="s">
        <v>15</v>
      </c>
      <c r="K109" s="30">
        <v>1</v>
      </c>
      <c r="L109" s="8">
        <v>4527</v>
      </c>
      <c r="M109" s="8">
        <v>1000</v>
      </c>
      <c r="N109" s="6" t="s">
        <v>1025</v>
      </c>
      <c r="O109" s="6" t="s">
        <v>513</v>
      </c>
      <c r="P109" s="6" t="s">
        <v>1064</v>
      </c>
      <c r="Q109" t="s">
        <v>1067</v>
      </c>
      <c r="R109" t="s">
        <v>16</v>
      </c>
    </row>
    <row r="110" spans="1:18" x14ac:dyDescent="0.2">
      <c r="A110" s="6" t="s">
        <v>889</v>
      </c>
      <c r="B110" s="1">
        <v>43676</v>
      </c>
      <c r="C110" s="1">
        <v>43679</v>
      </c>
      <c r="D110" s="1">
        <v>43709</v>
      </c>
      <c r="E110" s="18">
        <v>30</v>
      </c>
      <c r="F110" s="18">
        <v>5</v>
      </c>
      <c r="G110" s="18">
        <v>8</v>
      </c>
      <c r="H110" s="18">
        <v>23</v>
      </c>
      <c r="I110" s="18">
        <v>30</v>
      </c>
      <c r="J110" t="s">
        <v>15</v>
      </c>
      <c r="K110" s="30">
        <v>1</v>
      </c>
      <c r="L110" s="8">
        <v>821</v>
      </c>
      <c r="M110" s="8">
        <v>750</v>
      </c>
      <c r="N110" s="6" t="s">
        <v>961</v>
      </c>
      <c r="O110" s="6" t="s">
        <v>513</v>
      </c>
      <c r="P110" s="6" t="s">
        <v>1062</v>
      </c>
      <c r="Q110" t="s">
        <v>1067</v>
      </c>
      <c r="R110" t="s">
        <v>16</v>
      </c>
    </row>
    <row r="111" spans="1:18" x14ac:dyDescent="0.2">
      <c r="A111" s="6" t="s">
        <v>890</v>
      </c>
      <c r="B111" s="1">
        <v>43681</v>
      </c>
      <c r="C111" s="1">
        <v>43685</v>
      </c>
      <c r="D111" s="1">
        <v>43704</v>
      </c>
      <c r="E111" s="18">
        <v>19</v>
      </c>
      <c r="F111" s="18">
        <v>4</v>
      </c>
      <c r="G111" s="18">
        <v>8</v>
      </c>
      <c r="H111" s="18">
        <v>39</v>
      </c>
      <c r="I111" s="18">
        <v>19</v>
      </c>
      <c r="J111" t="s">
        <v>18</v>
      </c>
      <c r="K111" s="30">
        <v>1.16955371</v>
      </c>
      <c r="L111" s="8">
        <v>1656</v>
      </c>
      <c r="M111" s="8">
        <v>1</v>
      </c>
      <c r="N111" s="6" t="s">
        <v>1026</v>
      </c>
      <c r="O111" s="6" t="s">
        <v>519</v>
      </c>
      <c r="P111" s="6" t="s">
        <v>1064</v>
      </c>
      <c r="Q111" t="s">
        <v>1067</v>
      </c>
      <c r="R111" t="s">
        <v>16</v>
      </c>
    </row>
    <row r="112" spans="1:18" x14ac:dyDescent="0.2">
      <c r="A112" s="6" t="s">
        <v>891</v>
      </c>
      <c r="B112" s="1">
        <v>43682</v>
      </c>
      <c r="C112" s="1">
        <v>43776</v>
      </c>
      <c r="D112" s="1">
        <v>43791</v>
      </c>
      <c r="E112" s="18">
        <v>15</v>
      </c>
      <c r="F112" s="18">
        <v>4</v>
      </c>
      <c r="G112" s="18">
        <v>11</v>
      </c>
      <c r="H112" s="18">
        <v>21</v>
      </c>
      <c r="I112" s="18">
        <v>15</v>
      </c>
      <c r="J112" t="s">
        <v>19</v>
      </c>
      <c r="K112" s="30">
        <v>1.49576325</v>
      </c>
      <c r="L112" s="8">
        <v>1108</v>
      </c>
      <c r="M112" s="8">
        <v>1500</v>
      </c>
      <c r="N112" s="6" t="s">
        <v>1027</v>
      </c>
      <c r="O112" s="6" t="s">
        <v>515</v>
      </c>
      <c r="P112" s="6" t="s">
        <v>1064</v>
      </c>
      <c r="Q112" t="s">
        <v>1067</v>
      </c>
      <c r="R112" t="s">
        <v>20</v>
      </c>
    </row>
    <row r="113" spans="1:18" x14ac:dyDescent="0.2">
      <c r="A113" s="6" t="s">
        <v>892</v>
      </c>
      <c r="B113" s="1">
        <v>43686</v>
      </c>
      <c r="C113" s="1">
        <v>43692</v>
      </c>
      <c r="D113" s="1">
        <v>43722</v>
      </c>
      <c r="E113" s="18">
        <v>30</v>
      </c>
      <c r="F113" s="18">
        <v>4</v>
      </c>
      <c r="G113" s="18">
        <v>8</v>
      </c>
      <c r="H113" s="18">
        <v>944</v>
      </c>
      <c r="I113" s="18">
        <v>30</v>
      </c>
      <c r="J113" t="s">
        <v>15</v>
      </c>
      <c r="K113" s="30">
        <v>1</v>
      </c>
      <c r="L113" s="8">
        <v>120066</v>
      </c>
      <c r="M113" s="8">
        <v>7000</v>
      </c>
      <c r="N113" s="6" t="s">
        <v>940</v>
      </c>
      <c r="O113" s="6" t="s">
        <v>513</v>
      </c>
      <c r="P113" s="6" t="s">
        <v>1065</v>
      </c>
      <c r="Q113" t="s">
        <v>1068</v>
      </c>
      <c r="R113" t="s">
        <v>16</v>
      </c>
    </row>
    <row r="114" spans="1:18" x14ac:dyDescent="0.2">
      <c r="A114" s="6" t="s">
        <v>893</v>
      </c>
      <c r="B114" s="1">
        <v>43686</v>
      </c>
      <c r="C114" s="1">
        <v>43732</v>
      </c>
      <c r="D114" s="1">
        <v>43756</v>
      </c>
      <c r="E114" s="18">
        <v>24</v>
      </c>
      <c r="F114" s="18">
        <v>2</v>
      </c>
      <c r="G114" s="18">
        <v>9</v>
      </c>
      <c r="H114" s="18">
        <v>657</v>
      </c>
      <c r="I114" s="18">
        <v>24</v>
      </c>
      <c r="J114" t="s">
        <v>15</v>
      </c>
      <c r="K114" s="30">
        <v>1</v>
      </c>
      <c r="L114" s="8">
        <v>18819</v>
      </c>
      <c r="M114" s="8">
        <v>15000</v>
      </c>
      <c r="N114" s="6" t="s">
        <v>1028</v>
      </c>
      <c r="O114" s="6" t="s">
        <v>513</v>
      </c>
      <c r="P114" s="6" t="s">
        <v>1064</v>
      </c>
      <c r="Q114" t="s">
        <v>1067</v>
      </c>
      <c r="R114" t="s">
        <v>16</v>
      </c>
    </row>
    <row r="115" spans="1:18" x14ac:dyDescent="0.2">
      <c r="A115" s="6" t="s">
        <v>894</v>
      </c>
      <c r="B115" s="1">
        <v>43687</v>
      </c>
      <c r="C115" s="1">
        <v>43692</v>
      </c>
      <c r="D115" s="1">
        <v>43713</v>
      </c>
      <c r="E115" s="18">
        <v>21</v>
      </c>
      <c r="F115" s="18">
        <v>4</v>
      </c>
      <c r="G115" s="18">
        <v>8</v>
      </c>
      <c r="H115" s="18">
        <v>7838</v>
      </c>
      <c r="I115" s="18">
        <v>21</v>
      </c>
      <c r="J115" t="s">
        <v>15</v>
      </c>
      <c r="K115" s="30">
        <v>1</v>
      </c>
      <c r="L115" s="8">
        <v>431368</v>
      </c>
      <c r="M115" s="8">
        <v>25000</v>
      </c>
      <c r="N115" s="6" t="s">
        <v>1029</v>
      </c>
      <c r="O115" s="6" t="s">
        <v>513</v>
      </c>
      <c r="P115" s="6" t="s">
        <v>1064</v>
      </c>
      <c r="Q115" t="s">
        <v>1068</v>
      </c>
      <c r="R115" t="s">
        <v>16</v>
      </c>
    </row>
    <row r="116" spans="1:18" x14ac:dyDescent="0.2">
      <c r="A116" s="6" t="s">
        <v>895</v>
      </c>
      <c r="B116" s="1">
        <v>43688</v>
      </c>
      <c r="C116" s="1">
        <v>43753</v>
      </c>
      <c r="D116" s="1">
        <v>43784</v>
      </c>
      <c r="E116" s="18">
        <v>31</v>
      </c>
      <c r="F116" s="18">
        <v>2</v>
      </c>
      <c r="G116" s="18">
        <v>10</v>
      </c>
      <c r="H116" s="18">
        <v>105</v>
      </c>
      <c r="I116" s="18">
        <v>31</v>
      </c>
      <c r="J116" t="s">
        <v>15</v>
      </c>
      <c r="K116" s="30">
        <v>1</v>
      </c>
      <c r="L116" s="8">
        <v>6553</v>
      </c>
      <c r="M116" s="8">
        <v>5500</v>
      </c>
      <c r="N116" s="6" t="s">
        <v>1030</v>
      </c>
      <c r="O116" s="6" t="s">
        <v>513</v>
      </c>
      <c r="P116" s="6" t="s">
        <v>1064</v>
      </c>
      <c r="Q116" t="s">
        <v>1067</v>
      </c>
      <c r="R116" t="s">
        <v>20</v>
      </c>
    </row>
    <row r="117" spans="1:18" x14ac:dyDescent="0.2">
      <c r="A117" s="6" t="s">
        <v>896</v>
      </c>
      <c r="B117" s="1">
        <v>43691</v>
      </c>
      <c r="C117" s="1">
        <v>43692</v>
      </c>
      <c r="D117" s="1">
        <v>43707</v>
      </c>
      <c r="E117" s="18">
        <v>15</v>
      </c>
      <c r="F117" s="18">
        <v>4</v>
      </c>
      <c r="G117" s="18">
        <v>8</v>
      </c>
      <c r="H117" s="18">
        <v>302</v>
      </c>
      <c r="I117" s="18">
        <v>15</v>
      </c>
      <c r="J117" t="s">
        <v>15</v>
      </c>
      <c r="K117" s="30">
        <v>1</v>
      </c>
      <c r="L117" s="8">
        <v>14147</v>
      </c>
      <c r="M117" s="8">
        <v>250</v>
      </c>
      <c r="N117" s="6" t="s">
        <v>1031</v>
      </c>
      <c r="O117" s="6" t="s">
        <v>513</v>
      </c>
      <c r="P117" s="6" t="s">
        <v>1064</v>
      </c>
      <c r="Q117" t="s">
        <v>1067</v>
      </c>
      <c r="R117" t="s">
        <v>16</v>
      </c>
    </row>
    <row r="118" spans="1:18" x14ac:dyDescent="0.2">
      <c r="A118" s="6" t="s">
        <v>897</v>
      </c>
      <c r="B118" s="1">
        <v>43692</v>
      </c>
      <c r="C118" s="1">
        <v>43706</v>
      </c>
      <c r="D118" s="1">
        <v>43739</v>
      </c>
      <c r="E118" s="18">
        <v>33</v>
      </c>
      <c r="F118" s="18">
        <v>4</v>
      </c>
      <c r="G118" s="18">
        <v>8</v>
      </c>
      <c r="H118" s="18">
        <v>5</v>
      </c>
      <c r="I118" s="18">
        <v>33</v>
      </c>
      <c r="J118" t="s">
        <v>15</v>
      </c>
      <c r="K118" s="30">
        <v>1</v>
      </c>
      <c r="L118" s="8">
        <v>14</v>
      </c>
      <c r="M118" s="8">
        <v>250</v>
      </c>
      <c r="N118" s="6" t="s">
        <v>1032</v>
      </c>
      <c r="O118" s="6" t="s">
        <v>513</v>
      </c>
      <c r="P118" s="6" t="s">
        <v>1063</v>
      </c>
      <c r="Q118" t="s">
        <v>1067</v>
      </c>
      <c r="R118" t="s">
        <v>17</v>
      </c>
    </row>
    <row r="119" spans="1:18" x14ac:dyDescent="0.2">
      <c r="A119" s="6" t="s">
        <v>898</v>
      </c>
      <c r="B119" s="1">
        <v>43692</v>
      </c>
      <c r="C119" s="1">
        <v>43699</v>
      </c>
      <c r="D119" s="1">
        <v>43714</v>
      </c>
      <c r="E119" s="18">
        <v>15</v>
      </c>
      <c r="F119" s="18">
        <v>4</v>
      </c>
      <c r="G119" s="18">
        <v>8</v>
      </c>
      <c r="H119" s="18">
        <v>118</v>
      </c>
      <c r="I119" s="18">
        <v>15</v>
      </c>
      <c r="J119" t="s">
        <v>34</v>
      </c>
      <c r="K119" s="30">
        <v>0.12847297999999999</v>
      </c>
      <c r="L119" s="8">
        <v>4128</v>
      </c>
      <c r="M119" s="8">
        <v>30000</v>
      </c>
      <c r="N119" s="6" t="s">
        <v>973</v>
      </c>
      <c r="O119" s="6" t="s">
        <v>408</v>
      </c>
      <c r="P119" s="6" t="s">
        <v>1065</v>
      </c>
      <c r="Q119" t="s">
        <v>1067</v>
      </c>
      <c r="R119" t="s">
        <v>16</v>
      </c>
    </row>
    <row r="120" spans="1:18" x14ac:dyDescent="0.2">
      <c r="A120" s="6" t="s">
        <v>899</v>
      </c>
      <c r="B120" s="1">
        <v>43697</v>
      </c>
      <c r="C120" s="1">
        <v>43767</v>
      </c>
      <c r="D120" s="1">
        <v>43798</v>
      </c>
      <c r="E120" s="18">
        <v>31</v>
      </c>
      <c r="F120" s="18">
        <v>2</v>
      </c>
      <c r="G120" s="18">
        <v>10</v>
      </c>
      <c r="H120" s="18">
        <v>57</v>
      </c>
      <c r="I120" s="18">
        <v>31</v>
      </c>
      <c r="J120" t="s">
        <v>18</v>
      </c>
      <c r="K120" s="30">
        <v>1.16955371</v>
      </c>
      <c r="L120" s="8">
        <v>1868</v>
      </c>
      <c r="M120" s="8">
        <v>6400</v>
      </c>
      <c r="N120" s="6" t="s">
        <v>1033</v>
      </c>
      <c r="O120" s="6" t="s">
        <v>1060</v>
      </c>
      <c r="P120" s="6" t="s">
        <v>1065</v>
      </c>
      <c r="Q120" t="s">
        <v>1067</v>
      </c>
      <c r="R120" t="s">
        <v>20</v>
      </c>
    </row>
    <row r="121" spans="1:18" x14ac:dyDescent="0.2">
      <c r="A121" s="6" t="s">
        <v>900</v>
      </c>
      <c r="B121" s="1">
        <v>43697</v>
      </c>
      <c r="C121" s="1">
        <v>43746</v>
      </c>
      <c r="D121" s="1">
        <v>43777</v>
      </c>
      <c r="E121" s="18">
        <v>31</v>
      </c>
      <c r="F121" s="18">
        <v>2</v>
      </c>
      <c r="G121" s="18">
        <v>10</v>
      </c>
      <c r="H121" s="18">
        <v>419</v>
      </c>
      <c r="I121" s="18">
        <v>31</v>
      </c>
      <c r="J121" t="s">
        <v>27</v>
      </c>
      <c r="K121" s="30">
        <v>0.90338969999999996</v>
      </c>
      <c r="L121" s="8">
        <v>21922</v>
      </c>
      <c r="M121" s="8">
        <v>10000</v>
      </c>
      <c r="N121" s="6" t="s">
        <v>1034</v>
      </c>
      <c r="O121" s="6" t="s">
        <v>1061</v>
      </c>
      <c r="P121" s="6" t="s">
        <v>1064</v>
      </c>
      <c r="Q121" t="s">
        <v>1067</v>
      </c>
      <c r="R121" t="s">
        <v>16</v>
      </c>
    </row>
    <row r="122" spans="1:18" x14ac:dyDescent="0.2">
      <c r="A122" s="6" t="s">
        <v>901</v>
      </c>
      <c r="B122" s="1">
        <v>43698</v>
      </c>
      <c r="C122" s="1">
        <v>43700</v>
      </c>
      <c r="D122" s="1">
        <v>43758</v>
      </c>
      <c r="E122" s="18">
        <v>58</v>
      </c>
      <c r="F122" s="18">
        <v>5</v>
      </c>
      <c r="G122" s="18">
        <v>8</v>
      </c>
      <c r="H122" s="18">
        <v>1</v>
      </c>
      <c r="I122" s="18">
        <v>58</v>
      </c>
      <c r="J122" t="s">
        <v>22</v>
      </c>
      <c r="K122" s="30">
        <v>0.76932900999999998</v>
      </c>
      <c r="L122" s="8">
        <v>1</v>
      </c>
      <c r="M122" s="8">
        <v>4000</v>
      </c>
      <c r="N122" s="6" t="s">
        <v>1000</v>
      </c>
      <c r="O122" s="6" t="s">
        <v>517</v>
      </c>
      <c r="P122" s="6" t="s">
        <v>1063</v>
      </c>
      <c r="Q122" t="s">
        <v>1067</v>
      </c>
      <c r="R122" t="s">
        <v>17</v>
      </c>
    </row>
    <row r="123" spans="1:18" x14ac:dyDescent="0.2">
      <c r="A123" s="6" t="s">
        <v>902</v>
      </c>
      <c r="B123" s="1">
        <v>43698</v>
      </c>
      <c r="C123" s="1">
        <v>43738</v>
      </c>
      <c r="D123" s="1">
        <v>43750</v>
      </c>
      <c r="E123" s="18">
        <v>12</v>
      </c>
      <c r="F123" s="18">
        <v>1</v>
      </c>
      <c r="G123" s="18">
        <v>9</v>
      </c>
      <c r="H123" s="18">
        <v>81</v>
      </c>
      <c r="I123" s="18">
        <v>12</v>
      </c>
      <c r="J123" t="s">
        <v>18</v>
      </c>
      <c r="K123" s="30">
        <v>1.16955371</v>
      </c>
      <c r="L123" s="8">
        <v>6324</v>
      </c>
      <c r="M123" s="8">
        <v>40</v>
      </c>
      <c r="N123" s="6" t="s">
        <v>1035</v>
      </c>
      <c r="O123" s="6" t="s">
        <v>379</v>
      </c>
      <c r="P123" s="6" t="s">
        <v>1064</v>
      </c>
      <c r="Q123" t="s">
        <v>1067</v>
      </c>
      <c r="R123" t="s">
        <v>16</v>
      </c>
    </row>
    <row r="124" spans="1:18" x14ac:dyDescent="0.2">
      <c r="A124" s="6" t="s">
        <v>903</v>
      </c>
      <c r="B124" s="1">
        <v>43700</v>
      </c>
      <c r="C124" s="1">
        <v>43703</v>
      </c>
      <c r="D124" s="1">
        <v>43733</v>
      </c>
      <c r="E124" s="18">
        <v>30</v>
      </c>
      <c r="F124" s="18">
        <v>1</v>
      </c>
      <c r="G124" s="18">
        <v>8</v>
      </c>
      <c r="H124" s="18">
        <v>7</v>
      </c>
      <c r="I124" s="18">
        <v>30</v>
      </c>
      <c r="J124" t="s">
        <v>19</v>
      </c>
      <c r="K124" s="30">
        <v>1.49576325</v>
      </c>
      <c r="L124" s="8">
        <v>123</v>
      </c>
      <c r="M124" s="8">
        <v>2500</v>
      </c>
      <c r="N124" s="6" t="s">
        <v>1011</v>
      </c>
      <c r="O124" s="6" t="s">
        <v>515</v>
      </c>
      <c r="P124" s="6" t="s">
        <v>1065</v>
      </c>
      <c r="Q124" t="s">
        <v>1067</v>
      </c>
      <c r="R124" t="s">
        <v>17</v>
      </c>
    </row>
    <row r="125" spans="1:18" x14ac:dyDescent="0.2">
      <c r="A125" s="6" t="s">
        <v>904</v>
      </c>
      <c r="B125" s="1">
        <v>43701</v>
      </c>
      <c r="C125" s="1">
        <v>43741</v>
      </c>
      <c r="D125" s="1">
        <v>43771</v>
      </c>
      <c r="E125" s="18">
        <v>30</v>
      </c>
      <c r="F125" s="18">
        <v>4</v>
      </c>
      <c r="G125" s="18">
        <v>10</v>
      </c>
      <c r="H125" s="18">
        <v>30</v>
      </c>
      <c r="I125" s="18">
        <v>30</v>
      </c>
      <c r="J125" t="s">
        <v>15</v>
      </c>
      <c r="K125" s="30">
        <v>1</v>
      </c>
      <c r="L125" s="8">
        <v>5214</v>
      </c>
      <c r="M125" s="8">
        <v>5000</v>
      </c>
      <c r="N125" s="6" t="s">
        <v>1036</v>
      </c>
      <c r="O125" s="6" t="s">
        <v>513</v>
      </c>
      <c r="P125" s="6" t="s">
        <v>1064</v>
      </c>
      <c r="Q125" t="s">
        <v>1067</v>
      </c>
      <c r="R125" t="s">
        <v>16</v>
      </c>
    </row>
    <row r="126" spans="1:18" x14ac:dyDescent="0.2">
      <c r="A126" s="6" t="s">
        <v>905</v>
      </c>
      <c r="B126" s="1">
        <v>43703</v>
      </c>
      <c r="C126" s="1">
        <v>43715</v>
      </c>
      <c r="D126" s="1">
        <v>43745</v>
      </c>
      <c r="E126" s="18">
        <v>30</v>
      </c>
      <c r="F126" s="18">
        <v>6</v>
      </c>
      <c r="G126" s="18">
        <v>9</v>
      </c>
      <c r="H126" s="18">
        <v>153</v>
      </c>
      <c r="I126" s="18">
        <v>30</v>
      </c>
      <c r="J126" t="s">
        <v>15</v>
      </c>
      <c r="K126" s="30">
        <v>1</v>
      </c>
      <c r="L126" s="8">
        <v>3070</v>
      </c>
      <c r="M126" s="8">
        <v>600</v>
      </c>
      <c r="N126" s="6" t="s">
        <v>1037</v>
      </c>
      <c r="O126" s="6" t="s">
        <v>513</v>
      </c>
      <c r="P126" s="6" t="s">
        <v>1064</v>
      </c>
      <c r="Q126" t="s">
        <v>1067</v>
      </c>
      <c r="R126" t="s">
        <v>16</v>
      </c>
    </row>
    <row r="127" spans="1:18" x14ac:dyDescent="0.2">
      <c r="A127" s="6" t="s">
        <v>906</v>
      </c>
      <c r="B127" s="1">
        <v>43704</v>
      </c>
      <c r="C127" s="1">
        <v>43732</v>
      </c>
      <c r="D127" s="1">
        <v>43760</v>
      </c>
      <c r="E127" s="18">
        <v>28</v>
      </c>
      <c r="F127" s="18">
        <v>2</v>
      </c>
      <c r="G127" s="18">
        <v>9</v>
      </c>
      <c r="H127" s="18">
        <v>1334</v>
      </c>
      <c r="I127" s="18">
        <v>28</v>
      </c>
      <c r="J127" t="s">
        <v>15</v>
      </c>
      <c r="K127" s="30">
        <v>1</v>
      </c>
      <c r="L127" s="8">
        <v>54200</v>
      </c>
      <c r="M127" s="8">
        <v>12000</v>
      </c>
      <c r="N127" s="6" t="s">
        <v>1038</v>
      </c>
      <c r="O127" s="6" t="s">
        <v>513</v>
      </c>
      <c r="P127" s="6" t="s">
        <v>1064</v>
      </c>
      <c r="Q127" t="s">
        <v>1067</v>
      </c>
      <c r="R127" t="s">
        <v>16</v>
      </c>
    </row>
    <row r="128" spans="1:18" x14ac:dyDescent="0.2">
      <c r="A128" s="6" t="s">
        <v>907</v>
      </c>
      <c r="B128" s="1">
        <v>43707</v>
      </c>
      <c r="C128" s="1">
        <v>43739</v>
      </c>
      <c r="D128" s="1">
        <v>43769</v>
      </c>
      <c r="E128" s="18">
        <v>30</v>
      </c>
      <c r="F128" s="18">
        <v>2</v>
      </c>
      <c r="G128" s="18">
        <v>10</v>
      </c>
      <c r="H128" s="18">
        <v>2942</v>
      </c>
      <c r="I128" s="18">
        <v>30</v>
      </c>
      <c r="J128" t="s">
        <v>18</v>
      </c>
      <c r="K128" s="30">
        <v>1.16955371</v>
      </c>
      <c r="L128" s="8">
        <v>162721</v>
      </c>
      <c r="M128" s="8">
        <v>5000</v>
      </c>
      <c r="N128" s="6" t="s">
        <v>1039</v>
      </c>
      <c r="O128" s="6" t="s">
        <v>489</v>
      </c>
      <c r="P128" s="6" t="s">
        <v>1064</v>
      </c>
      <c r="Q128" t="s">
        <v>1067</v>
      </c>
      <c r="R128" t="s">
        <v>16</v>
      </c>
    </row>
    <row r="129" spans="1:18" x14ac:dyDescent="0.2">
      <c r="A129" s="6" t="s">
        <v>908</v>
      </c>
      <c r="B129" s="1">
        <v>43709</v>
      </c>
      <c r="C129" s="1">
        <v>43714</v>
      </c>
      <c r="D129" s="1">
        <v>43739</v>
      </c>
      <c r="E129" s="18">
        <v>25</v>
      </c>
      <c r="F129" s="18">
        <v>5</v>
      </c>
      <c r="G129" s="18">
        <v>9</v>
      </c>
      <c r="H129" s="18">
        <v>50</v>
      </c>
      <c r="I129" s="18">
        <v>25</v>
      </c>
      <c r="J129" t="s">
        <v>27</v>
      </c>
      <c r="K129" s="30">
        <v>0.90338969999999996</v>
      </c>
      <c r="L129" s="8">
        <v>3306</v>
      </c>
      <c r="M129" s="8">
        <v>3000</v>
      </c>
      <c r="N129" s="6" t="s">
        <v>1040</v>
      </c>
      <c r="O129" s="6" t="s">
        <v>1061</v>
      </c>
      <c r="P129" s="6" t="s">
        <v>1064</v>
      </c>
      <c r="Q129" t="s">
        <v>1067</v>
      </c>
      <c r="R129" t="s">
        <v>16</v>
      </c>
    </row>
    <row r="130" spans="1:18" x14ac:dyDescent="0.2">
      <c r="A130" s="6" t="s">
        <v>909</v>
      </c>
      <c r="B130" s="1">
        <v>43711</v>
      </c>
      <c r="C130" s="1">
        <v>43725</v>
      </c>
      <c r="D130" s="1">
        <v>43735</v>
      </c>
      <c r="E130" s="18">
        <v>10</v>
      </c>
      <c r="F130" s="18">
        <v>2</v>
      </c>
      <c r="G130" s="18">
        <v>9</v>
      </c>
      <c r="H130" s="18">
        <v>125</v>
      </c>
      <c r="I130" s="18">
        <v>10</v>
      </c>
      <c r="J130" t="s">
        <v>15</v>
      </c>
      <c r="K130" s="30">
        <v>1</v>
      </c>
      <c r="L130" s="8">
        <v>6469</v>
      </c>
      <c r="M130" s="8">
        <v>3500</v>
      </c>
      <c r="N130" s="6" t="s">
        <v>995</v>
      </c>
      <c r="O130" s="6" t="s">
        <v>513</v>
      </c>
      <c r="P130" s="6" t="s">
        <v>1064</v>
      </c>
      <c r="Q130" t="s">
        <v>1067</v>
      </c>
      <c r="R130" t="s">
        <v>16</v>
      </c>
    </row>
    <row r="131" spans="1:18" x14ac:dyDescent="0.2">
      <c r="A131" s="6" t="s">
        <v>910</v>
      </c>
      <c r="B131" s="1">
        <v>43716</v>
      </c>
      <c r="C131" s="1">
        <v>43748</v>
      </c>
      <c r="D131" s="1">
        <v>43778</v>
      </c>
      <c r="E131" s="18">
        <v>30</v>
      </c>
      <c r="F131" s="18">
        <v>4</v>
      </c>
      <c r="G131" s="18">
        <v>10</v>
      </c>
      <c r="H131" s="18">
        <v>275</v>
      </c>
      <c r="I131" s="18">
        <v>30</v>
      </c>
      <c r="J131" t="s">
        <v>15</v>
      </c>
      <c r="K131" s="30">
        <v>1</v>
      </c>
      <c r="L131" s="8">
        <v>10986</v>
      </c>
      <c r="M131" s="8">
        <v>5000</v>
      </c>
      <c r="N131" s="6" t="s">
        <v>1041</v>
      </c>
      <c r="O131" s="6" t="s">
        <v>513</v>
      </c>
      <c r="P131" s="6" t="s">
        <v>1065</v>
      </c>
      <c r="Q131" t="s">
        <v>1067</v>
      </c>
      <c r="R131" t="s">
        <v>16</v>
      </c>
    </row>
    <row r="132" spans="1:18" x14ac:dyDescent="0.2">
      <c r="A132" s="6" t="s">
        <v>911</v>
      </c>
      <c r="B132" s="1">
        <v>43718</v>
      </c>
      <c r="C132" s="1">
        <v>43740</v>
      </c>
      <c r="D132" s="1">
        <v>43770</v>
      </c>
      <c r="E132" s="18">
        <v>30</v>
      </c>
      <c r="F132" s="18">
        <v>3</v>
      </c>
      <c r="G132" s="18">
        <v>10</v>
      </c>
      <c r="H132" s="18">
        <v>30</v>
      </c>
      <c r="I132" s="18">
        <v>30</v>
      </c>
      <c r="J132" t="s">
        <v>19</v>
      </c>
      <c r="K132" s="30">
        <v>1.49576325</v>
      </c>
      <c r="L132" s="8">
        <v>3062</v>
      </c>
      <c r="M132" s="8">
        <v>6000</v>
      </c>
      <c r="N132" s="6" t="s">
        <v>935</v>
      </c>
      <c r="O132" s="6" t="s">
        <v>515</v>
      </c>
      <c r="P132" s="6" t="s">
        <v>1065</v>
      </c>
      <c r="Q132" t="s">
        <v>1067</v>
      </c>
      <c r="R132" t="s">
        <v>17</v>
      </c>
    </row>
    <row r="133" spans="1:18" x14ac:dyDescent="0.2">
      <c r="A133" s="6" t="s">
        <v>912</v>
      </c>
      <c r="B133" s="1">
        <v>43718</v>
      </c>
      <c r="C133" s="1">
        <v>43776</v>
      </c>
      <c r="D133" s="1">
        <v>43811</v>
      </c>
      <c r="E133" s="18">
        <v>35</v>
      </c>
      <c r="F133" s="18">
        <v>4</v>
      </c>
      <c r="G133" s="18">
        <v>11</v>
      </c>
      <c r="H133" s="18">
        <v>213</v>
      </c>
      <c r="I133" s="18">
        <v>35</v>
      </c>
      <c r="J133" t="s">
        <v>18</v>
      </c>
      <c r="K133" s="30">
        <v>1.16955371</v>
      </c>
      <c r="L133" s="8">
        <v>5430</v>
      </c>
      <c r="M133" s="8">
        <v>8400</v>
      </c>
      <c r="N133" s="6" t="s">
        <v>1042</v>
      </c>
      <c r="O133" s="6" t="s">
        <v>379</v>
      </c>
      <c r="P133" s="6" t="s">
        <v>1064</v>
      </c>
      <c r="Q133" t="s">
        <v>1067</v>
      </c>
      <c r="R133" t="s">
        <v>20</v>
      </c>
    </row>
    <row r="134" spans="1:18" x14ac:dyDescent="0.2">
      <c r="A134" s="6" t="s">
        <v>913</v>
      </c>
      <c r="B134" s="1">
        <v>43718</v>
      </c>
      <c r="C134" s="1">
        <v>43720</v>
      </c>
      <c r="D134" s="1">
        <v>43751</v>
      </c>
      <c r="E134" s="18">
        <v>31</v>
      </c>
      <c r="F134" s="18">
        <v>4</v>
      </c>
      <c r="G134" s="18">
        <v>9</v>
      </c>
      <c r="H134" s="18">
        <v>547</v>
      </c>
      <c r="I134" s="18">
        <v>31</v>
      </c>
      <c r="J134" t="s">
        <v>22</v>
      </c>
      <c r="K134" s="30">
        <v>0.76932900999999998</v>
      </c>
      <c r="L134" s="8">
        <v>16621</v>
      </c>
      <c r="M134" s="8">
        <v>10000</v>
      </c>
      <c r="N134" s="6" t="s">
        <v>1023</v>
      </c>
      <c r="O134" s="6" t="s">
        <v>517</v>
      </c>
      <c r="P134" s="6" t="s">
        <v>1064</v>
      </c>
      <c r="Q134" t="s">
        <v>1067</v>
      </c>
      <c r="R134" t="s">
        <v>16</v>
      </c>
    </row>
    <row r="135" spans="1:18" x14ac:dyDescent="0.2">
      <c r="A135" s="6" t="s">
        <v>914</v>
      </c>
      <c r="B135" s="1">
        <v>43720</v>
      </c>
      <c r="C135" s="1">
        <v>43743</v>
      </c>
      <c r="D135" s="1">
        <v>43773</v>
      </c>
      <c r="E135" s="18">
        <v>30</v>
      </c>
      <c r="F135" s="18">
        <v>6</v>
      </c>
      <c r="G135" s="18">
        <v>10</v>
      </c>
      <c r="H135" s="18">
        <v>125</v>
      </c>
      <c r="I135" s="18">
        <v>30</v>
      </c>
      <c r="J135" t="s">
        <v>19</v>
      </c>
      <c r="K135" s="30">
        <v>1.49576325</v>
      </c>
      <c r="L135" s="8">
        <v>5813</v>
      </c>
      <c r="M135" s="8">
        <v>2000</v>
      </c>
      <c r="N135" s="6" t="s">
        <v>1043</v>
      </c>
      <c r="O135" s="6" t="s">
        <v>515</v>
      </c>
      <c r="P135" s="6" t="s">
        <v>1065</v>
      </c>
      <c r="Q135" t="s">
        <v>1067</v>
      </c>
      <c r="R135" t="s">
        <v>16</v>
      </c>
    </row>
    <row r="136" spans="1:18" x14ac:dyDescent="0.2">
      <c r="A136" s="6" t="s">
        <v>915</v>
      </c>
      <c r="B136" s="1">
        <v>43721</v>
      </c>
      <c r="C136" s="1">
        <v>43732</v>
      </c>
      <c r="D136" s="1">
        <v>43753</v>
      </c>
      <c r="E136" s="18">
        <v>21</v>
      </c>
      <c r="F136" s="18">
        <v>2</v>
      </c>
      <c r="G136" s="18">
        <v>9</v>
      </c>
      <c r="H136" s="18">
        <v>676</v>
      </c>
      <c r="I136" s="18">
        <v>21</v>
      </c>
      <c r="J136" t="s">
        <v>18</v>
      </c>
      <c r="K136" s="30">
        <v>1.16955371</v>
      </c>
      <c r="L136" s="8">
        <v>10812</v>
      </c>
      <c r="M136" s="8">
        <v>5000</v>
      </c>
      <c r="N136" s="6" t="s">
        <v>1044</v>
      </c>
      <c r="O136" s="6" t="s">
        <v>519</v>
      </c>
      <c r="P136" s="6" t="s">
        <v>1064</v>
      </c>
      <c r="Q136" t="s">
        <v>1067</v>
      </c>
      <c r="R136" t="s">
        <v>16</v>
      </c>
    </row>
    <row r="137" spans="1:18" x14ac:dyDescent="0.2">
      <c r="A137" s="6" t="s">
        <v>916</v>
      </c>
      <c r="B137" s="1">
        <v>43722</v>
      </c>
      <c r="C137" s="1">
        <v>43746</v>
      </c>
      <c r="D137" s="1">
        <v>43786</v>
      </c>
      <c r="E137" s="18">
        <v>40</v>
      </c>
      <c r="F137" s="18">
        <v>2</v>
      </c>
      <c r="G137" s="18">
        <v>10</v>
      </c>
      <c r="H137" s="18">
        <v>1</v>
      </c>
      <c r="I137" s="18">
        <v>40</v>
      </c>
      <c r="J137" t="s">
        <v>15</v>
      </c>
      <c r="K137" s="30">
        <v>1</v>
      </c>
      <c r="L137" s="8">
        <v>1</v>
      </c>
      <c r="M137" s="8">
        <v>500</v>
      </c>
      <c r="N137" s="6" t="s">
        <v>1045</v>
      </c>
      <c r="O137" s="6" t="s">
        <v>513</v>
      </c>
      <c r="P137" s="6" t="s">
        <v>1063</v>
      </c>
      <c r="Q137" t="s">
        <v>1067</v>
      </c>
      <c r="R137" t="s">
        <v>20</v>
      </c>
    </row>
    <row r="138" spans="1:18" x14ac:dyDescent="0.2">
      <c r="A138" s="6" t="s">
        <v>917</v>
      </c>
      <c r="B138" s="1">
        <v>43722</v>
      </c>
      <c r="C138" s="1">
        <v>43722</v>
      </c>
      <c r="D138" s="1">
        <v>43737</v>
      </c>
      <c r="E138" s="18">
        <v>15</v>
      </c>
      <c r="F138" s="18">
        <v>6</v>
      </c>
      <c r="G138" s="18">
        <v>9</v>
      </c>
      <c r="H138" s="18">
        <v>67</v>
      </c>
      <c r="I138" s="18">
        <v>15</v>
      </c>
      <c r="J138" t="s">
        <v>15</v>
      </c>
      <c r="K138" s="30">
        <v>1</v>
      </c>
      <c r="L138" s="8">
        <v>1489</v>
      </c>
      <c r="M138" s="8">
        <v>500</v>
      </c>
      <c r="N138" s="6" t="s">
        <v>1046</v>
      </c>
      <c r="O138" s="6" t="s">
        <v>513</v>
      </c>
      <c r="P138" s="6" t="s">
        <v>1064</v>
      </c>
      <c r="Q138" t="s">
        <v>1067</v>
      </c>
      <c r="R138" t="s">
        <v>16</v>
      </c>
    </row>
    <row r="139" spans="1:18" x14ac:dyDescent="0.2">
      <c r="A139" s="6" t="s">
        <v>918</v>
      </c>
      <c r="B139" s="1">
        <v>43723</v>
      </c>
      <c r="C139" s="1">
        <v>43782</v>
      </c>
      <c r="D139" s="1">
        <v>43810</v>
      </c>
      <c r="E139" s="18">
        <v>28</v>
      </c>
      <c r="F139" s="18">
        <v>3</v>
      </c>
      <c r="G139" s="18">
        <v>11</v>
      </c>
      <c r="H139" s="18">
        <v>33</v>
      </c>
      <c r="I139" s="18">
        <v>28</v>
      </c>
      <c r="J139" t="s">
        <v>27</v>
      </c>
      <c r="K139" s="30">
        <v>0.90338969999999996</v>
      </c>
      <c r="L139" s="8">
        <v>1438</v>
      </c>
      <c r="M139" s="8">
        <v>8000</v>
      </c>
      <c r="N139" s="6" t="s">
        <v>1034</v>
      </c>
      <c r="O139" s="6" t="s">
        <v>1061</v>
      </c>
      <c r="P139" s="6" t="s">
        <v>1064</v>
      </c>
      <c r="Q139" t="s">
        <v>1067</v>
      </c>
      <c r="R139" t="s">
        <v>20</v>
      </c>
    </row>
    <row r="140" spans="1:18" x14ac:dyDescent="0.2">
      <c r="A140" s="6" t="s">
        <v>919</v>
      </c>
      <c r="B140" s="1">
        <v>43728</v>
      </c>
      <c r="C140" s="1">
        <v>43730</v>
      </c>
      <c r="D140" s="1">
        <v>43751</v>
      </c>
      <c r="E140" s="18">
        <v>21</v>
      </c>
      <c r="F140" s="18">
        <v>7</v>
      </c>
      <c r="G140" s="18">
        <v>9</v>
      </c>
      <c r="H140" s="18">
        <v>1756</v>
      </c>
      <c r="I140" s="18">
        <v>21</v>
      </c>
      <c r="J140" t="s">
        <v>18</v>
      </c>
      <c r="K140" s="30">
        <v>1.16955371</v>
      </c>
      <c r="L140" s="8">
        <v>144633</v>
      </c>
      <c r="M140" s="8">
        <v>10000</v>
      </c>
      <c r="N140" s="6" t="s">
        <v>1047</v>
      </c>
      <c r="O140" s="6" t="s">
        <v>514</v>
      </c>
      <c r="P140" s="6" t="s">
        <v>1064</v>
      </c>
      <c r="Q140" t="s">
        <v>1067</v>
      </c>
      <c r="R140" t="s">
        <v>16</v>
      </c>
    </row>
    <row r="141" spans="1:18" x14ac:dyDescent="0.2">
      <c r="A141" s="6" t="s">
        <v>920</v>
      </c>
      <c r="B141" s="1">
        <v>43731</v>
      </c>
      <c r="C141" s="1">
        <v>43746</v>
      </c>
      <c r="D141" s="1">
        <v>43776</v>
      </c>
      <c r="E141" s="18">
        <v>30</v>
      </c>
      <c r="F141" s="18">
        <v>2</v>
      </c>
      <c r="G141" s="18">
        <v>10</v>
      </c>
      <c r="H141" s="18">
        <v>112</v>
      </c>
      <c r="I141" s="18">
        <v>30</v>
      </c>
      <c r="J141" t="s">
        <v>15</v>
      </c>
      <c r="K141" s="30">
        <v>1</v>
      </c>
      <c r="L141" s="8">
        <v>6029</v>
      </c>
      <c r="M141" s="8">
        <v>5600</v>
      </c>
      <c r="N141" s="6" t="s">
        <v>1037</v>
      </c>
      <c r="O141" s="6" t="s">
        <v>513</v>
      </c>
      <c r="P141" s="6" t="s">
        <v>1065</v>
      </c>
      <c r="Q141" t="s">
        <v>1067</v>
      </c>
      <c r="R141" t="s">
        <v>16</v>
      </c>
    </row>
    <row r="142" spans="1:18" x14ac:dyDescent="0.2">
      <c r="A142" s="6" t="s">
        <v>921</v>
      </c>
      <c r="B142" s="1">
        <v>43732</v>
      </c>
      <c r="C142" s="1">
        <v>43735</v>
      </c>
      <c r="D142" s="1">
        <v>43765</v>
      </c>
      <c r="E142" s="18">
        <v>30</v>
      </c>
      <c r="F142" s="18">
        <v>5</v>
      </c>
      <c r="G142" s="18">
        <v>9</v>
      </c>
      <c r="H142" s="18">
        <v>14</v>
      </c>
      <c r="I142" s="18">
        <v>30</v>
      </c>
      <c r="J142" t="s">
        <v>15</v>
      </c>
      <c r="K142" s="30">
        <v>1</v>
      </c>
      <c r="L142" s="8">
        <v>479</v>
      </c>
      <c r="M142" s="8">
        <v>1600</v>
      </c>
      <c r="N142" s="6" t="s">
        <v>1048</v>
      </c>
      <c r="O142" s="6" t="s">
        <v>513</v>
      </c>
      <c r="P142" s="6" t="s">
        <v>1065</v>
      </c>
      <c r="Q142" t="s">
        <v>1067</v>
      </c>
      <c r="R142" t="s">
        <v>17</v>
      </c>
    </row>
    <row r="143" spans="1:18" x14ac:dyDescent="0.2">
      <c r="A143" s="6" t="s">
        <v>922</v>
      </c>
      <c r="B143" s="1">
        <v>43734</v>
      </c>
      <c r="C143" s="1">
        <v>43754</v>
      </c>
      <c r="D143" s="1">
        <v>43775</v>
      </c>
      <c r="E143" s="18">
        <v>21</v>
      </c>
      <c r="F143" s="18">
        <v>3</v>
      </c>
      <c r="G143" s="18">
        <v>10</v>
      </c>
      <c r="H143" s="18">
        <v>21735</v>
      </c>
      <c r="I143" s="18">
        <v>21</v>
      </c>
      <c r="J143" t="s">
        <v>15</v>
      </c>
      <c r="K143" s="30">
        <v>1</v>
      </c>
      <c r="L143" s="8">
        <v>3410084</v>
      </c>
      <c r="M143" s="8">
        <v>250000</v>
      </c>
      <c r="N143" s="6" t="s">
        <v>1049</v>
      </c>
      <c r="O143" s="6" t="s">
        <v>513</v>
      </c>
      <c r="P143" s="6" t="s">
        <v>1064</v>
      </c>
      <c r="Q143" t="s">
        <v>1068</v>
      </c>
      <c r="R143" t="s">
        <v>16</v>
      </c>
    </row>
    <row r="144" spans="1:18" x14ac:dyDescent="0.2">
      <c r="A144" s="6" t="s">
        <v>923</v>
      </c>
      <c r="B144" s="1">
        <v>43734</v>
      </c>
      <c r="C144" s="1">
        <v>43734</v>
      </c>
      <c r="D144" s="1">
        <v>43764</v>
      </c>
      <c r="E144" s="18">
        <v>30</v>
      </c>
      <c r="F144" s="18">
        <v>4</v>
      </c>
      <c r="G144" s="18">
        <v>9</v>
      </c>
      <c r="H144" s="18">
        <v>90</v>
      </c>
      <c r="I144" s="18">
        <v>30</v>
      </c>
      <c r="J144" t="s">
        <v>34</v>
      </c>
      <c r="K144" s="30">
        <v>0.12847297999999999</v>
      </c>
      <c r="L144" s="8">
        <v>6863</v>
      </c>
      <c r="M144" s="8">
        <v>48000</v>
      </c>
      <c r="N144" s="6" t="s">
        <v>1050</v>
      </c>
      <c r="O144" s="6" t="s">
        <v>408</v>
      </c>
      <c r="P144" s="6" t="s">
        <v>1064</v>
      </c>
      <c r="Q144" t="s">
        <v>1067</v>
      </c>
      <c r="R144" t="s">
        <v>16</v>
      </c>
    </row>
    <row r="145" spans="1:18" x14ac:dyDescent="0.2">
      <c r="A145" s="6" t="s">
        <v>924</v>
      </c>
      <c r="B145" s="1">
        <v>43739</v>
      </c>
      <c r="C145" s="1">
        <v>43766</v>
      </c>
      <c r="D145" s="1">
        <v>43772</v>
      </c>
      <c r="E145" s="18">
        <v>6</v>
      </c>
      <c r="F145" s="18">
        <v>1</v>
      </c>
      <c r="G145" s="18">
        <v>10</v>
      </c>
      <c r="H145" s="18">
        <v>559</v>
      </c>
      <c r="I145" s="18">
        <v>6</v>
      </c>
      <c r="J145" t="s">
        <v>19</v>
      </c>
      <c r="K145" s="30">
        <v>1.49576325</v>
      </c>
      <c r="L145" s="8">
        <v>54748</v>
      </c>
      <c r="M145" s="8">
        <v>4000</v>
      </c>
      <c r="N145" s="6" t="s">
        <v>1051</v>
      </c>
      <c r="O145" s="6" t="s">
        <v>515</v>
      </c>
      <c r="P145" s="6" t="s">
        <v>1064</v>
      </c>
      <c r="Q145" t="s">
        <v>1067</v>
      </c>
      <c r="R145" t="s">
        <v>16</v>
      </c>
    </row>
    <row r="146" spans="1:18" x14ac:dyDescent="0.2">
      <c r="A146" s="6" t="s">
        <v>925</v>
      </c>
      <c r="B146" s="1">
        <v>43741</v>
      </c>
      <c r="C146" s="1">
        <v>43767</v>
      </c>
      <c r="D146" s="1">
        <v>43785</v>
      </c>
      <c r="E146" s="18">
        <v>18</v>
      </c>
      <c r="F146" s="18">
        <v>2</v>
      </c>
      <c r="G146" s="18">
        <v>10</v>
      </c>
      <c r="H146" s="18">
        <v>428</v>
      </c>
      <c r="I146" s="18">
        <v>18</v>
      </c>
      <c r="J146" t="s">
        <v>15</v>
      </c>
      <c r="K146" s="30">
        <v>1</v>
      </c>
      <c r="L146" s="8">
        <v>23347</v>
      </c>
      <c r="M146" s="8">
        <v>26000</v>
      </c>
      <c r="N146" s="6" t="s">
        <v>1052</v>
      </c>
      <c r="O146" s="6" t="s">
        <v>513</v>
      </c>
      <c r="P146" s="6" t="s">
        <v>1064</v>
      </c>
      <c r="Q146" t="s">
        <v>1067</v>
      </c>
      <c r="R146" t="s">
        <v>20</v>
      </c>
    </row>
    <row r="147" spans="1:18" x14ac:dyDescent="0.2">
      <c r="A147" s="6" t="s">
        <v>926</v>
      </c>
      <c r="B147" s="1">
        <v>43741</v>
      </c>
      <c r="C147" s="1">
        <v>43749</v>
      </c>
      <c r="D147" s="1">
        <v>43779</v>
      </c>
      <c r="E147" s="18">
        <v>30</v>
      </c>
      <c r="F147" s="18">
        <v>5</v>
      </c>
      <c r="G147" s="18">
        <v>10</v>
      </c>
      <c r="H147" s="18">
        <v>90</v>
      </c>
      <c r="I147" s="18">
        <v>30</v>
      </c>
      <c r="J147" t="s">
        <v>18</v>
      </c>
      <c r="K147" s="30">
        <v>1.16955371</v>
      </c>
      <c r="L147" s="8">
        <v>4926</v>
      </c>
      <c r="M147" s="8">
        <v>3000</v>
      </c>
      <c r="N147" s="6" t="s">
        <v>1053</v>
      </c>
      <c r="O147" s="6" t="s">
        <v>519</v>
      </c>
      <c r="P147" s="6" t="s">
        <v>1064</v>
      </c>
      <c r="Q147" t="s">
        <v>1067</v>
      </c>
      <c r="R147" t="s">
        <v>16</v>
      </c>
    </row>
    <row r="148" spans="1:18" x14ac:dyDescent="0.2">
      <c r="A148" s="6" t="s">
        <v>927</v>
      </c>
      <c r="B148" s="1">
        <v>43742</v>
      </c>
      <c r="C148" s="1">
        <v>43745</v>
      </c>
      <c r="D148" s="1">
        <v>43775</v>
      </c>
      <c r="E148" s="18">
        <v>30</v>
      </c>
      <c r="F148" s="18">
        <v>1</v>
      </c>
      <c r="G148" s="18">
        <v>10</v>
      </c>
      <c r="H148" s="18">
        <v>133</v>
      </c>
      <c r="I148" s="18">
        <v>30</v>
      </c>
      <c r="J148" t="s">
        <v>15</v>
      </c>
      <c r="K148" s="30">
        <v>1</v>
      </c>
      <c r="L148" s="8">
        <v>3850</v>
      </c>
      <c r="M148" s="8">
        <v>3000</v>
      </c>
      <c r="N148" s="6" t="s">
        <v>945</v>
      </c>
      <c r="O148" s="6" t="s">
        <v>513</v>
      </c>
      <c r="P148" s="6" t="s">
        <v>1064</v>
      </c>
      <c r="Q148" t="s">
        <v>1067</v>
      </c>
      <c r="R148" t="s">
        <v>16</v>
      </c>
    </row>
    <row r="149" spans="1:18" x14ac:dyDescent="0.2">
      <c r="A149" s="6" t="s">
        <v>928</v>
      </c>
      <c r="B149" s="1">
        <v>43746</v>
      </c>
      <c r="C149" s="1">
        <v>43776</v>
      </c>
      <c r="D149" s="1">
        <v>43803</v>
      </c>
      <c r="E149" s="18">
        <v>27</v>
      </c>
      <c r="F149" s="18">
        <v>4</v>
      </c>
      <c r="G149" s="18">
        <v>11</v>
      </c>
      <c r="H149" s="18">
        <v>135</v>
      </c>
      <c r="I149" s="18">
        <v>27</v>
      </c>
      <c r="J149" t="s">
        <v>15</v>
      </c>
      <c r="K149" s="30">
        <v>1</v>
      </c>
      <c r="L149" s="8">
        <v>4951</v>
      </c>
      <c r="M149" s="8">
        <v>500</v>
      </c>
      <c r="N149" s="6" t="s">
        <v>1054</v>
      </c>
      <c r="O149" s="6" t="s">
        <v>513</v>
      </c>
      <c r="P149" s="6" t="s">
        <v>1064</v>
      </c>
      <c r="Q149" t="s">
        <v>1067</v>
      </c>
      <c r="R149" t="s">
        <v>20</v>
      </c>
    </row>
    <row r="150" spans="1:18" x14ac:dyDescent="0.2">
      <c r="A150" s="6" t="s">
        <v>929</v>
      </c>
      <c r="B150" s="1">
        <v>43753</v>
      </c>
      <c r="C150" s="1">
        <v>43769</v>
      </c>
      <c r="D150" s="1">
        <v>43784</v>
      </c>
      <c r="E150" s="18">
        <v>15</v>
      </c>
      <c r="F150" s="18">
        <v>4</v>
      </c>
      <c r="G150" s="18">
        <v>10</v>
      </c>
      <c r="H150" s="18">
        <v>832</v>
      </c>
      <c r="I150" s="18">
        <v>15</v>
      </c>
      <c r="J150" t="s">
        <v>15</v>
      </c>
      <c r="K150" s="30">
        <v>1</v>
      </c>
      <c r="L150" s="8">
        <v>52469</v>
      </c>
      <c r="M150" s="8">
        <v>25000</v>
      </c>
      <c r="N150" s="6" t="s">
        <v>1055</v>
      </c>
      <c r="O150" s="6" t="s">
        <v>513</v>
      </c>
      <c r="P150" s="6" t="s">
        <v>1064</v>
      </c>
      <c r="Q150" t="s">
        <v>1068</v>
      </c>
      <c r="R150" t="s">
        <v>20</v>
      </c>
    </row>
    <row r="151" spans="1:18" x14ac:dyDescent="0.2">
      <c r="A151" s="6" t="s">
        <v>930</v>
      </c>
      <c r="B151" s="1">
        <v>43754</v>
      </c>
      <c r="C151" s="1">
        <v>43783</v>
      </c>
      <c r="D151" s="1">
        <v>43813</v>
      </c>
      <c r="E151" s="18">
        <v>30</v>
      </c>
      <c r="F151" s="18">
        <v>4</v>
      </c>
      <c r="G151" s="18">
        <v>11</v>
      </c>
      <c r="H151" s="18">
        <v>3</v>
      </c>
      <c r="I151" s="18">
        <v>30</v>
      </c>
      <c r="J151" t="s">
        <v>15</v>
      </c>
      <c r="K151" s="30">
        <v>1</v>
      </c>
      <c r="L151" s="8">
        <v>46</v>
      </c>
      <c r="M151" s="8">
        <v>10000</v>
      </c>
      <c r="N151" s="6" t="s">
        <v>949</v>
      </c>
      <c r="O151" s="6" t="s">
        <v>513</v>
      </c>
      <c r="P151" s="6" t="s">
        <v>1065</v>
      </c>
      <c r="Q151" t="s">
        <v>1067</v>
      </c>
      <c r="R151" t="s">
        <v>20</v>
      </c>
    </row>
    <row r="152" spans="1:18" x14ac:dyDescent="0.2">
      <c r="A152" s="6" t="s">
        <v>931</v>
      </c>
      <c r="B152" s="1">
        <v>43760</v>
      </c>
      <c r="C152" s="1">
        <v>43782</v>
      </c>
      <c r="D152" s="1">
        <v>43815</v>
      </c>
      <c r="E152" s="18">
        <v>33</v>
      </c>
      <c r="F152" s="18">
        <v>3</v>
      </c>
      <c r="G152" s="18">
        <v>11</v>
      </c>
      <c r="H152" s="18">
        <v>2</v>
      </c>
      <c r="I152" s="18">
        <v>33</v>
      </c>
      <c r="J152" t="s">
        <v>15</v>
      </c>
      <c r="K152" s="30">
        <v>1</v>
      </c>
      <c r="L152" s="8">
        <v>155</v>
      </c>
      <c r="M152" s="8">
        <v>7200</v>
      </c>
      <c r="N152" s="6" t="s">
        <v>1056</v>
      </c>
      <c r="O152" s="6" t="s">
        <v>521</v>
      </c>
      <c r="P152" s="6" t="s">
        <v>1064</v>
      </c>
      <c r="Q152" t="s">
        <v>1067</v>
      </c>
      <c r="R152" t="s">
        <v>20</v>
      </c>
    </row>
    <row r="153" spans="1:18" x14ac:dyDescent="0.2">
      <c r="A153" s="6" t="s">
        <v>932</v>
      </c>
      <c r="B153" s="1">
        <v>43778</v>
      </c>
      <c r="C153" s="1">
        <v>43782</v>
      </c>
      <c r="D153" s="1">
        <v>43796</v>
      </c>
      <c r="E153" s="18">
        <v>14</v>
      </c>
      <c r="F153" s="18">
        <v>3</v>
      </c>
      <c r="G153" s="18">
        <v>11</v>
      </c>
      <c r="H153" s="18">
        <v>3</v>
      </c>
      <c r="I153" s="18">
        <v>14</v>
      </c>
      <c r="J153" t="s">
        <v>19</v>
      </c>
      <c r="K153" s="30">
        <v>1.49576325</v>
      </c>
      <c r="L153" s="8">
        <v>31</v>
      </c>
      <c r="M153" s="8">
        <v>200</v>
      </c>
      <c r="N153" s="6" t="s">
        <v>1024</v>
      </c>
      <c r="O153" s="6" t="s">
        <v>515</v>
      </c>
      <c r="P153" s="6" t="s">
        <v>1064</v>
      </c>
      <c r="Q153" t="s">
        <v>1067</v>
      </c>
      <c r="R153" t="s">
        <v>20</v>
      </c>
    </row>
  </sheetData>
  <mergeCells count="1">
    <mergeCell ref="U1:V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5D22-5488-E046-B3A7-6A003340673A}">
  <dimension ref="A6:E10"/>
  <sheetViews>
    <sheetView workbookViewId="0">
      <selection activeCell="A9" sqref="A9"/>
    </sheetView>
  </sheetViews>
  <sheetFormatPr baseColWidth="10" defaultRowHeight="16" x14ac:dyDescent="0.2"/>
  <cols>
    <col min="1" max="1" width="59.1640625" bestFit="1" customWidth="1"/>
  </cols>
  <sheetData>
    <row r="6" spans="1:5" x14ac:dyDescent="0.2">
      <c r="A6" t="s">
        <v>765</v>
      </c>
      <c r="E6" t="s">
        <v>763</v>
      </c>
    </row>
    <row r="7" spans="1:5" s="17" customFormat="1" x14ac:dyDescent="0.2">
      <c r="A7" s="17" t="s">
        <v>734</v>
      </c>
      <c r="E7" s="17">
        <v>17</v>
      </c>
    </row>
    <row r="8" spans="1:5" x14ac:dyDescent="0.2">
      <c r="A8" t="s">
        <v>764</v>
      </c>
      <c r="E8" t="s">
        <v>762</v>
      </c>
    </row>
    <row r="9" spans="1:5" x14ac:dyDescent="0.2">
      <c r="A9" t="s">
        <v>1072</v>
      </c>
    </row>
    <row r="10" spans="1:5" x14ac:dyDescent="0.2">
      <c r="A10" t="s">
        <v>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32DD-0944-6744-B522-3E49336E6341}">
  <dimension ref="A1:F13"/>
  <sheetViews>
    <sheetView workbookViewId="0">
      <selection activeCell="D30" sqref="D30"/>
    </sheetView>
  </sheetViews>
  <sheetFormatPr baseColWidth="10" defaultRowHeight="16" x14ac:dyDescent="0.2"/>
  <cols>
    <col min="1" max="1" width="16.1640625" customWidth="1"/>
    <col min="2" max="2" width="14.5" customWidth="1"/>
    <col min="5" max="5" width="18.33203125" customWidth="1"/>
    <col min="6" max="6" width="16.6640625" customWidth="1"/>
  </cols>
  <sheetData>
    <row r="1" spans="1:6" x14ac:dyDescent="0.2">
      <c r="A1" t="s">
        <v>709</v>
      </c>
      <c r="B1" t="s">
        <v>708</v>
      </c>
      <c r="E1" t="s">
        <v>722</v>
      </c>
      <c r="F1" t="s">
        <v>723</v>
      </c>
    </row>
    <row r="2" spans="1:6" x14ac:dyDescent="0.2">
      <c r="A2">
        <v>1</v>
      </c>
      <c r="B2" t="s">
        <v>710</v>
      </c>
      <c r="E2">
        <v>1</v>
      </c>
      <c r="F2" t="s">
        <v>724</v>
      </c>
    </row>
    <row r="3" spans="1:6" x14ac:dyDescent="0.2">
      <c r="A3">
        <v>2</v>
      </c>
      <c r="B3" t="s">
        <v>711</v>
      </c>
      <c r="E3">
        <v>2</v>
      </c>
      <c r="F3" t="s">
        <v>725</v>
      </c>
    </row>
    <row r="4" spans="1:6" x14ac:dyDescent="0.2">
      <c r="A4">
        <v>3</v>
      </c>
      <c r="B4" t="s">
        <v>712</v>
      </c>
      <c r="E4">
        <v>3</v>
      </c>
      <c r="F4" t="s">
        <v>726</v>
      </c>
    </row>
    <row r="5" spans="1:6" x14ac:dyDescent="0.2">
      <c r="A5">
        <v>4</v>
      </c>
      <c r="B5" t="s">
        <v>713</v>
      </c>
      <c r="E5">
        <v>4</v>
      </c>
      <c r="F5" t="s">
        <v>727</v>
      </c>
    </row>
    <row r="6" spans="1:6" x14ac:dyDescent="0.2">
      <c r="A6">
        <v>5</v>
      </c>
      <c r="B6" t="s">
        <v>714</v>
      </c>
      <c r="E6">
        <v>5</v>
      </c>
      <c r="F6" t="s">
        <v>728</v>
      </c>
    </row>
    <row r="7" spans="1:6" x14ac:dyDescent="0.2">
      <c r="A7">
        <v>6</v>
      </c>
      <c r="B7" t="s">
        <v>715</v>
      </c>
      <c r="E7">
        <v>6</v>
      </c>
      <c r="F7" t="s">
        <v>729</v>
      </c>
    </row>
    <row r="8" spans="1:6" x14ac:dyDescent="0.2">
      <c r="A8">
        <v>7</v>
      </c>
      <c r="B8" t="s">
        <v>716</v>
      </c>
      <c r="E8">
        <v>7</v>
      </c>
      <c r="F8" t="s">
        <v>730</v>
      </c>
    </row>
    <row r="9" spans="1:6" x14ac:dyDescent="0.2">
      <c r="A9">
        <v>8</v>
      </c>
      <c r="B9" t="s">
        <v>717</v>
      </c>
    </row>
    <row r="10" spans="1:6" x14ac:dyDescent="0.2">
      <c r="A10">
        <v>9</v>
      </c>
      <c r="B10" t="s">
        <v>718</v>
      </c>
    </row>
    <row r="11" spans="1:6" x14ac:dyDescent="0.2">
      <c r="A11">
        <v>10</v>
      </c>
      <c r="B11" t="s">
        <v>719</v>
      </c>
    </row>
    <row r="12" spans="1:6" x14ac:dyDescent="0.2">
      <c r="A12">
        <v>11</v>
      </c>
      <c r="B12" t="s">
        <v>720</v>
      </c>
    </row>
    <row r="13" spans="1:6" x14ac:dyDescent="0.2">
      <c r="A13">
        <v>12</v>
      </c>
      <c r="B13" t="s">
        <v>721</v>
      </c>
    </row>
  </sheetData>
  <phoneticPr fontId="19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21A1-5337-B844-8CED-BF92B18B7A0E}">
  <dimension ref="A1:B15"/>
  <sheetViews>
    <sheetView workbookViewId="0">
      <selection activeCell="F20" sqref="F20"/>
    </sheetView>
  </sheetViews>
  <sheetFormatPr baseColWidth="10" defaultRowHeight="16" x14ac:dyDescent="0.2"/>
  <cols>
    <col min="2" max="2" width="15.6640625" customWidth="1"/>
  </cols>
  <sheetData>
    <row r="1" spans="1:2" x14ac:dyDescent="0.2">
      <c r="A1" t="s">
        <v>3</v>
      </c>
      <c r="B1" t="s">
        <v>525</v>
      </c>
    </row>
    <row r="2" spans="1:2" x14ac:dyDescent="0.2">
      <c r="A2" t="s">
        <v>27</v>
      </c>
      <c r="B2">
        <v>0.90338969999999996</v>
      </c>
    </row>
    <row r="3" spans="1:2" x14ac:dyDescent="0.2">
      <c r="A3" t="s">
        <v>22</v>
      </c>
      <c r="B3">
        <v>0.76932900999999998</v>
      </c>
    </row>
    <row r="4" spans="1:2" x14ac:dyDescent="0.2">
      <c r="A4" t="s">
        <v>31</v>
      </c>
      <c r="B4">
        <v>1.0274831200000001</v>
      </c>
    </row>
    <row r="5" spans="1:2" x14ac:dyDescent="0.2">
      <c r="A5" t="s">
        <v>25</v>
      </c>
      <c r="B5">
        <v>0.15285737999999999</v>
      </c>
    </row>
    <row r="6" spans="1:2" x14ac:dyDescent="0.2">
      <c r="A6" t="s">
        <v>18</v>
      </c>
      <c r="B6">
        <v>1.16955371</v>
      </c>
    </row>
    <row r="7" spans="1:2" x14ac:dyDescent="0.2">
      <c r="A7" t="s">
        <v>19</v>
      </c>
      <c r="B7">
        <v>1.49576325</v>
      </c>
    </row>
    <row r="8" spans="1:2" x14ac:dyDescent="0.2">
      <c r="A8" t="s">
        <v>34</v>
      </c>
      <c r="B8">
        <v>0.12847297999999999</v>
      </c>
    </row>
    <row r="9" spans="1:2" x14ac:dyDescent="0.2">
      <c r="A9" t="s">
        <v>35</v>
      </c>
      <c r="B9">
        <v>8.9630700000000001E-3</v>
      </c>
    </row>
    <row r="10" spans="1:2" x14ac:dyDescent="0.2">
      <c r="A10" t="s">
        <v>30</v>
      </c>
      <c r="B10">
        <v>5.1411470000000001E-2</v>
      </c>
    </row>
    <row r="11" spans="1:2" x14ac:dyDescent="0.2">
      <c r="A11" t="s">
        <v>28</v>
      </c>
      <c r="B11">
        <v>0.11943536</v>
      </c>
    </row>
    <row r="12" spans="1:2" x14ac:dyDescent="0.2">
      <c r="A12" t="s">
        <v>26</v>
      </c>
      <c r="B12">
        <v>0.70127260000000002</v>
      </c>
    </row>
    <row r="13" spans="1:2" x14ac:dyDescent="0.2">
      <c r="A13" t="s">
        <v>21</v>
      </c>
      <c r="B13">
        <v>0.12128203999999999</v>
      </c>
    </row>
    <row r="14" spans="1:2" x14ac:dyDescent="0.2">
      <c r="A14" t="s">
        <v>33</v>
      </c>
      <c r="B14">
        <v>0.70150824000000001</v>
      </c>
    </row>
    <row r="15" spans="1:2" x14ac:dyDescent="0.2">
      <c r="A15" t="s">
        <v>15</v>
      </c>
      <c r="B15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E59B-B2F5-F84F-9DCD-0A6C09EF6E48}">
  <dimension ref="A1:AB104"/>
  <sheetViews>
    <sheetView topLeftCell="C1" zoomScale="130" zoomScaleNormal="130" workbookViewId="0">
      <pane ySplit="1" topLeftCell="A2" activePane="bottomLeft" state="frozen"/>
      <selection pane="bottomLeft" activeCell="P2" sqref="P2"/>
    </sheetView>
  </sheetViews>
  <sheetFormatPr baseColWidth="10" defaultRowHeight="16" x14ac:dyDescent="0.2"/>
  <cols>
    <col min="1" max="1" width="4" style="6" hidden="1" customWidth="1"/>
    <col min="2" max="2" width="4.83203125" hidden="1" customWidth="1"/>
    <col min="3" max="3" width="35.6640625" customWidth="1"/>
    <col min="4" max="4" width="12.33203125" customWidth="1"/>
    <col min="5" max="5" width="13.5" customWidth="1"/>
    <col min="9" max="9" width="0" hidden="1" customWidth="1"/>
    <col min="11" max="11" width="16.1640625" customWidth="1"/>
    <col min="13" max="13" width="13.83203125" customWidth="1"/>
    <col min="18" max="18" width="12" customWidth="1"/>
    <col min="19" max="19" width="11.6640625" customWidth="1"/>
    <col min="22" max="22" width="16" bestFit="1" customWidth="1"/>
    <col min="23" max="23" width="22.1640625" bestFit="1" customWidth="1"/>
    <col min="28" max="28" width="19" bestFit="1" customWidth="1"/>
  </cols>
  <sheetData>
    <row r="1" spans="1:28" x14ac:dyDescent="0.2">
      <c r="A1" s="13" t="s">
        <v>9</v>
      </c>
      <c r="B1" s="14" t="s">
        <v>11</v>
      </c>
      <c r="C1" s="14" t="s">
        <v>737</v>
      </c>
      <c r="D1" s="14" t="s">
        <v>0</v>
      </c>
      <c r="E1" s="14" t="s">
        <v>1</v>
      </c>
      <c r="F1" s="14" t="s">
        <v>2</v>
      </c>
      <c r="G1" s="14" t="s">
        <v>733</v>
      </c>
      <c r="H1" s="14" t="s">
        <v>4</v>
      </c>
      <c r="I1" s="14" t="s">
        <v>3</v>
      </c>
      <c r="J1" s="14" t="s">
        <v>738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335</v>
      </c>
      <c r="P1" s="14" t="s">
        <v>14</v>
      </c>
      <c r="Q1" s="14" t="s">
        <v>10</v>
      </c>
      <c r="R1" s="14" t="s">
        <v>12</v>
      </c>
      <c r="S1" s="15" t="s">
        <v>13</v>
      </c>
      <c r="T1" s="14" t="s">
        <v>336</v>
      </c>
      <c r="U1" s="14" t="s">
        <v>731</v>
      </c>
      <c r="V1" s="24" t="s">
        <v>732</v>
      </c>
      <c r="W1" s="25" t="s">
        <v>739</v>
      </c>
      <c r="X1" s="25" t="s">
        <v>740</v>
      </c>
      <c r="Y1" s="24" t="s">
        <v>741</v>
      </c>
      <c r="Z1" s="25" t="s">
        <v>742</v>
      </c>
      <c r="AA1" s="25" t="s">
        <v>743</v>
      </c>
      <c r="AB1" s="25" t="s">
        <v>744</v>
      </c>
    </row>
    <row r="2" spans="1:28" x14ac:dyDescent="0.2">
      <c r="A2" s="7" t="s">
        <v>564</v>
      </c>
      <c r="B2" s="3" t="s">
        <v>82</v>
      </c>
      <c r="C2" s="3" t="str">
        <f>CONCATENATE(Table4[[#This Row],[id]], "-", Table4[[#This Row],[name]])</f>
        <v xml:space="preserve"> 952844010  -Hydrate Edge | Hydration Monitoring Wearable (Canceled)</v>
      </c>
      <c r="D2" s="5">
        <v>41457</v>
      </c>
      <c r="E2" s="5">
        <v>42612</v>
      </c>
      <c r="F2" s="5">
        <v>42657</v>
      </c>
      <c r="G2" s="5" t="b">
        <f>EXACT(Table4[[#This Row],[created_at]],Table4[[#This Row],[launched_at]])</f>
        <v>0</v>
      </c>
      <c r="H2" s="3">
        <v>15</v>
      </c>
      <c r="I2" s="3" t="s">
        <v>15</v>
      </c>
      <c r="J2" s="3" t="str">
        <f>UPPER(Table4[[#This Row],[currency]])</f>
        <v>USD</v>
      </c>
      <c r="K2" s="3">
        <v>1</v>
      </c>
      <c r="L2" s="3">
        <v>1748</v>
      </c>
      <c r="M2" s="23">
        <v>1748</v>
      </c>
      <c r="N2" s="22">
        <v>75000</v>
      </c>
      <c r="O2" s="3" t="s">
        <v>401</v>
      </c>
      <c r="P2" s="3" t="s">
        <v>311</v>
      </c>
      <c r="Q2" s="3" t="s">
        <v>513</v>
      </c>
      <c r="R2" s="3" t="s">
        <v>40</v>
      </c>
      <c r="S2" s="4" t="b">
        <v>0</v>
      </c>
      <c r="T2" s="3" t="s">
        <v>24</v>
      </c>
      <c r="U2" s="3">
        <f>VALUE(Table4[[#This Row],[usd_pledged]])</f>
        <v>1748</v>
      </c>
      <c r="V2" s="12" cm="1">
        <f t="array" ref="V2:V104">_xlfn._xlws.SORT(Table4[usd_pledged],1,1)</f>
        <v>0</v>
      </c>
      <c r="W2" t="str">
        <f>CONCATENATE(L2, " ", Table4[[#This Row],[Currency_CAP]], " ", PROPER("pledged"))</f>
        <v>1748 USD Pledged</v>
      </c>
      <c r="X2" t="str">
        <f>LEFT(Table4[[#This Row],[state]],LEN(Table4[[#This Row],[state]])-7)</f>
        <v>UT</v>
      </c>
      <c r="Y2" t="str">
        <f>SUBSTITUTE(Table4[[#This Row],[Concat Names]],":","-")</f>
        <v xml:space="preserve"> 952844010  -Hydrate Edge | Hydration Monitoring Wearable (Canceled)</v>
      </c>
      <c r="Z2" t="str">
        <f>TRIM(Y2)</f>
        <v>952844010 -Hydrate Edge | Hydration Monitoring Wearable (Canceled)</v>
      </c>
      <c r="AA2">
        <f>LEN("https://www.kickstarter.com/discover/categories/games/")</f>
        <v>54</v>
      </c>
      <c r="AB2" t="str">
        <f>RIGHT(Table4[[#This Row],[source_url]],LEN(Table4[[#This Row],[source_url]])-AA2)</f>
        <v>logy/wearables</v>
      </c>
    </row>
    <row r="3" spans="1:28" x14ac:dyDescent="0.2">
      <c r="A3" s="7" t="s">
        <v>577</v>
      </c>
      <c r="B3" s="3" t="s">
        <v>99</v>
      </c>
      <c r="C3" s="3" t="str">
        <f>CONCATENATE(Table4[[#This Row],[id]], "-", Table4[[#This Row],[name]])</f>
        <v xml:space="preserve"> 1299500496  -Flyfit - Smart Ankle Tracker For Fitness, Cycling &amp; Swimming</v>
      </c>
      <c r="D3" s="5">
        <v>41577</v>
      </c>
      <c r="E3" s="5">
        <v>41683</v>
      </c>
      <c r="F3" s="5">
        <v>41723</v>
      </c>
      <c r="G3" s="5" t="b">
        <f>EXACT(Table4[[#This Row],[created_at]],Table4[[#This Row],[launched_at]])</f>
        <v>0</v>
      </c>
      <c r="H3" s="3">
        <v>942</v>
      </c>
      <c r="I3" s="3" t="s">
        <v>15</v>
      </c>
      <c r="J3" s="3" t="str">
        <f>UPPER(Table4[[#This Row],[currency]])</f>
        <v>USD</v>
      </c>
      <c r="K3" s="3">
        <v>1</v>
      </c>
      <c r="L3" s="3">
        <v>123817.49</v>
      </c>
      <c r="M3" s="23">
        <v>123817.49</v>
      </c>
      <c r="N3" s="22">
        <v>90000</v>
      </c>
      <c r="O3" s="3" t="s">
        <v>376</v>
      </c>
      <c r="P3" s="3" t="s">
        <v>290</v>
      </c>
      <c r="Q3" s="3" t="s">
        <v>513</v>
      </c>
      <c r="R3" s="3" t="s">
        <v>40</v>
      </c>
      <c r="S3" s="4" t="b">
        <v>0</v>
      </c>
      <c r="T3" s="3" t="s">
        <v>16</v>
      </c>
      <c r="U3" s="3">
        <f>VALUE(Table4[[#This Row],[usd_pledged]])</f>
        <v>123817.49</v>
      </c>
      <c r="V3" s="12">
        <v>0</v>
      </c>
      <c r="W3" t="str">
        <f>CONCATENATE(L3, " ", Table4[[#This Row],[Currency_CAP]], " ", PROPER("pledged"))</f>
        <v>123817.49 USD Pledged</v>
      </c>
      <c r="X3" t="str">
        <f>LEFT(Table4[[#This Row],[state]],LEN(Table4[[#This Row],[state]])-7)</f>
        <v>CA</v>
      </c>
      <c r="Y3" t="str">
        <f>SUBSTITUTE(Table4[[#This Row],[Concat Names]],":","-")</f>
        <v xml:space="preserve"> 1299500496  -Flyfit - Smart Ankle Tracker For Fitness, Cycling &amp; Swimming</v>
      </c>
      <c r="Z3" t="str">
        <f t="shared" ref="Z3:Z66" si="0">TRIM(Y3)</f>
        <v>1299500496 -Flyfit - Smart Ankle Tracker For Fitness, Cycling &amp; Swimming</v>
      </c>
      <c r="AA3">
        <f t="shared" ref="AA3:AA66" si="1">LEN("https://www.kickstarter.com/discover/categories/games/")</f>
        <v>54</v>
      </c>
      <c r="AB3" t="str">
        <f>RIGHT(Table4[[#This Row],[source_url]],LEN(Table4[[#This Row],[source_url]])-AA3)</f>
        <v>logy/wearables</v>
      </c>
    </row>
    <row r="4" spans="1:28" x14ac:dyDescent="0.2">
      <c r="A4" s="7" t="s">
        <v>631</v>
      </c>
      <c r="B4" s="3" t="s">
        <v>263</v>
      </c>
      <c r="C4" s="3" t="str">
        <f>CONCATENATE(Table4[[#This Row],[id]], "-", Table4[[#This Row],[name]])</f>
        <v xml:space="preserve"> 1613449735  -KOR-FX Gaming Vest: 4DFX Haptic Feedback System</v>
      </c>
      <c r="D4" s="5">
        <v>41669</v>
      </c>
      <c r="E4" s="5">
        <v>41799</v>
      </c>
      <c r="F4" s="5">
        <v>41844</v>
      </c>
      <c r="G4" s="5" t="b">
        <f>EXACT(Table4[[#This Row],[created_at]],Table4[[#This Row],[launched_at]])</f>
        <v>0</v>
      </c>
      <c r="H4" s="3">
        <v>1202</v>
      </c>
      <c r="I4" s="3" t="s">
        <v>15</v>
      </c>
      <c r="J4" s="3" t="str">
        <f>UPPER(Table4[[#This Row],[currency]])</f>
        <v>USD</v>
      </c>
      <c r="K4" s="3">
        <v>1</v>
      </c>
      <c r="L4" s="3">
        <v>183449.14</v>
      </c>
      <c r="M4" s="23">
        <v>183449.14</v>
      </c>
      <c r="N4" s="22">
        <v>75000</v>
      </c>
      <c r="O4" s="3" t="s">
        <v>418</v>
      </c>
      <c r="P4" s="3" t="s">
        <v>298</v>
      </c>
      <c r="Q4" s="3" t="s">
        <v>513</v>
      </c>
      <c r="R4" s="3" t="s">
        <v>40</v>
      </c>
      <c r="S4" s="4" t="b">
        <v>1</v>
      </c>
      <c r="T4" s="3" t="s">
        <v>16</v>
      </c>
      <c r="U4" s="3">
        <f>VALUE(Table4[[#This Row],[usd_pledged]])</f>
        <v>183449.14</v>
      </c>
      <c r="V4" s="12">
        <v>0</v>
      </c>
      <c r="W4" t="str">
        <f>CONCATENATE(L4, " ", Table4[[#This Row],[Currency_CAP]], " ", PROPER("pledged"))</f>
        <v>183449.14 USD Pledged</v>
      </c>
      <c r="X4" t="str">
        <f>LEFT(Table4[[#This Row],[state]],LEN(Table4[[#This Row],[state]])-7)</f>
        <v>MA</v>
      </c>
      <c r="Y4" t="str">
        <f>SUBSTITUTE(Table4[[#This Row],[Concat Names]],":","-")</f>
        <v xml:space="preserve"> 1613449735  -KOR-FX Gaming Vest- 4DFX Haptic Feedback System</v>
      </c>
      <c r="Z4" t="str">
        <f t="shared" si="0"/>
        <v>1613449735 -KOR-FX Gaming Vest- 4DFX Haptic Feedback System</v>
      </c>
      <c r="AA4">
        <f t="shared" si="1"/>
        <v>54</v>
      </c>
      <c r="AB4" t="str">
        <f>RIGHT(Table4[[#This Row],[source_url]],LEN(Table4[[#This Row],[source_url]])-AA4)</f>
        <v>logy/wearables</v>
      </c>
    </row>
    <row r="5" spans="1:28" x14ac:dyDescent="0.2">
      <c r="A5" s="7" t="s">
        <v>589</v>
      </c>
      <c r="B5" s="3" t="s">
        <v>167</v>
      </c>
      <c r="C5" s="3" t="str">
        <f>CONCATENATE(Table4[[#This Row],[id]], "-", Table4[[#This Row],[name]])</f>
        <v xml:space="preserve"> 273890115  -ProfileMyRun:  Run the Right Way, Run the Natural Way</v>
      </c>
      <c r="D5" s="5">
        <v>41759</v>
      </c>
      <c r="E5" s="5">
        <v>41922</v>
      </c>
      <c r="F5" s="5">
        <v>41952</v>
      </c>
      <c r="G5" s="5" t="b">
        <f>EXACT(Table4[[#This Row],[created_at]],Table4[[#This Row],[launched_at]])</f>
        <v>0</v>
      </c>
      <c r="H5" s="3">
        <v>18</v>
      </c>
      <c r="I5" s="3" t="s">
        <v>15</v>
      </c>
      <c r="J5" s="3" t="str">
        <f>UPPER(Table4[[#This Row],[currency]])</f>
        <v>USD</v>
      </c>
      <c r="K5" s="3">
        <v>1</v>
      </c>
      <c r="L5" s="3">
        <v>1529</v>
      </c>
      <c r="M5" s="23">
        <v>1529</v>
      </c>
      <c r="N5" s="22">
        <v>50000</v>
      </c>
      <c r="O5" s="3" t="s">
        <v>453</v>
      </c>
      <c r="P5" s="3" t="s">
        <v>290</v>
      </c>
      <c r="Q5" s="3" t="s">
        <v>513</v>
      </c>
      <c r="R5" s="3" t="s">
        <v>40</v>
      </c>
      <c r="S5" s="4" t="b">
        <v>0</v>
      </c>
      <c r="T5" s="3" t="s">
        <v>17</v>
      </c>
      <c r="U5" s="3">
        <f>VALUE(Table4[[#This Row],[usd_pledged]])</f>
        <v>1529</v>
      </c>
      <c r="V5" s="12">
        <v>0</v>
      </c>
      <c r="W5" t="str">
        <f>CONCATENATE(L5, " ", Table4[[#This Row],[Currency_CAP]], " ", PROPER("pledged"))</f>
        <v>1529 USD Pledged</v>
      </c>
      <c r="X5" t="str">
        <f>LEFT(Table4[[#This Row],[state]],LEN(Table4[[#This Row],[state]])-7)</f>
        <v>CA</v>
      </c>
      <c r="Y5" t="str">
        <f>SUBSTITUTE(Table4[[#This Row],[Concat Names]],":","-")</f>
        <v xml:space="preserve"> 273890115  -ProfileMyRun-  Run the Right Way, Run the Natural Way</v>
      </c>
      <c r="Z5" t="str">
        <f t="shared" si="0"/>
        <v>273890115 -ProfileMyRun- Run the Right Way, Run the Natural Way</v>
      </c>
      <c r="AA5">
        <f t="shared" si="1"/>
        <v>54</v>
      </c>
      <c r="AB5" t="str">
        <f>RIGHT(Table4[[#This Row],[source_url]],LEN(Table4[[#This Row],[source_url]])-AA5)</f>
        <v>logy/wearables</v>
      </c>
    </row>
    <row r="6" spans="1:28" x14ac:dyDescent="0.2">
      <c r="A6" s="7" t="s">
        <v>603</v>
      </c>
      <c r="B6" s="3" t="s">
        <v>184</v>
      </c>
      <c r="C6" s="3" t="str">
        <f>CONCATENATE(Table4[[#This Row],[id]], "-", Table4[[#This Row],[name]])</f>
        <v xml:space="preserve"> 353045033  -365 DAZE - Apple Watch minimal wallpapers</v>
      </c>
      <c r="D6" s="5">
        <v>41768</v>
      </c>
      <c r="E6" s="5">
        <v>43392</v>
      </c>
      <c r="F6" s="5">
        <v>43428</v>
      </c>
      <c r="G6" s="5" t="b">
        <f>EXACT(Table4[[#This Row],[created_at]],Table4[[#This Row],[launched_at]])</f>
        <v>0</v>
      </c>
      <c r="H6" s="3">
        <v>7</v>
      </c>
      <c r="I6" s="3" t="s">
        <v>22</v>
      </c>
      <c r="J6" s="3" t="str">
        <f>UPPER(Table4[[#This Row],[currency]])</f>
        <v>CAD</v>
      </c>
      <c r="K6" s="3">
        <v>0.76665011000000005</v>
      </c>
      <c r="L6" s="3">
        <v>42.29</v>
      </c>
      <c r="M6" s="23">
        <v>32.421633200000002</v>
      </c>
      <c r="N6" s="22">
        <v>365</v>
      </c>
      <c r="O6" s="3" t="s">
        <v>350</v>
      </c>
      <c r="P6" s="3" t="s">
        <v>301</v>
      </c>
      <c r="Q6" s="3" t="s">
        <v>517</v>
      </c>
      <c r="R6" s="3" t="s">
        <v>40</v>
      </c>
      <c r="S6" s="4" t="b">
        <v>0</v>
      </c>
      <c r="T6" s="3" t="s">
        <v>17</v>
      </c>
      <c r="U6" s="3">
        <f>VALUE(Table4[[#This Row],[usd_pledged]])</f>
        <v>32.421633200000002</v>
      </c>
      <c r="V6" s="12">
        <v>0</v>
      </c>
      <c r="W6" t="str">
        <f>CONCATENATE(L6, " ", Table4[[#This Row],[Currency_CAP]], " ", PROPER("pledged"))</f>
        <v>42.29 CAD Pledged</v>
      </c>
      <c r="X6" t="str">
        <f>LEFT(Table4[[#This Row],[state]],LEN(Table4[[#This Row],[state]])-7)</f>
        <v>ON</v>
      </c>
      <c r="Y6" t="str">
        <f>SUBSTITUTE(Table4[[#This Row],[Concat Names]],":","-")</f>
        <v xml:space="preserve"> 353045033  -365 DAZE - Apple Watch minimal wallpapers</v>
      </c>
      <c r="Z6" t="str">
        <f t="shared" si="0"/>
        <v>353045033 -365 DAZE - Apple Watch minimal wallpapers</v>
      </c>
      <c r="AA6">
        <f t="shared" si="1"/>
        <v>54</v>
      </c>
      <c r="AB6" t="str">
        <f>RIGHT(Table4[[#This Row],[source_url]],LEN(Table4[[#This Row],[source_url]])-AA6)</f>
        <v>logy/wearables</v>
      </c>
    </row>
    <row r="7" spans="1:28" x14ac:dyDescent="0.2">
      <c r="A7" s="7" t="s">
        <v>626</v>
      </c>
      <c r="B7" s="3" t="s">
        <v>256</v>
      </c>
      <c r="C7" s="3" t="str">
        <f>CONCATENATE(Table4[[#This Row],[id]], "-", Table4[[#This Row],[name]])</f>
        <v xml:space="preserve"> 159764729  -KYMIRA Sport: The Most Advanced Reactive Sports Apparel</v>
      </c>
      <c r="D7" s="5">
        <v>41808</v>
      </c>
      <c r="E7" s="5">
        <v>41868</v>
      </c>
      <c r="F7" s="5">
        <v>41899</v>
      </c>
      <c r="G7" s="5" t="b">
        <f>EXACT(Table4[[#This Row],[created_at]],Table4[[#This Row],[launched_at]])</f>
        <v>0</v>
      </c>
      <c r="H7" s="3">
        <v>64</v>
      </c>
      <c r="I7" s="3" t="s">
        <v>19</v>
      </c>
      <c r="J7" s="3" t="str">
        <f>UPPER(Table4[[#This Row],[currency]])</f>
        <v>GBP</v>
      </c>
      <c r="K7" s="3">
        <v>1.66936547</v>
      </c>
      <c r="L7" s="3">
        <v>5137</v>
      </c>
      <c r="M7" s="23">
        <v>8575.5304199999991</v>
      </c>
      <c r="N7" s="22">
        <v>5000</v>
      </c>
      <c r="O7" s="3" t="s">
        <v>466</v>
      </c>
      <c r="P7" s="3" t="s">
        <v>295</v>
      </c>
      <c r="Q7" s="3" t="s">
        <v>515</v>
      </c>
      <c r="R7" s="3" t="s">
        <v>40</v>
      </c>
      <c r="S7" s="4" t="b">
        <v>0</v>
      </c>
      <c r="T7" s="3" t="s">
        <v>16</v>
      </c>
      <c r="U7" s="3">
        <f>VALUE(Table4[[#This Row],[usd_pledged]])</f>
        <v>8575.5304199999991</v>
      </c>
      <c r="V7" s="12">
        <v>0</v>
      </c>
      <c r="W7" t="str">
        <f>CONCATENATE(L7, " ", Table4[[#This Row],[Currency_CAP]], " ", PROPER("pledged"))</f>
        <v>5137 GBP Pledged</v>
      </c>
      <c r="X7" t="str">
        <f>LEFT(Table4[[#This Row],[state]],LEN(Table4[[#This Row],[state]])-7)</f>
        <v>England</v>
      </c>
      <c r="Y7" t="str">
        <f>SUBSTITUTE(Table4[[#This Row],[Concat Names]],":","-")</f>
        <v xml:space="preserve"> 159764729  -KYMIRA Sport- The Most Advanced Reactive Sports Apparel</v>
      </c>
      <c r="Z7" t="str">
        <f t="shared" si="0"/>
        <v>159764729 -KYMIRA Sport- The Most Advanced Reactive Sports Apparel</v>
      </c>
      <c r="AA7">
        <f t="shared" si="1"/>
        <v>54</v>
      </c>
      <c r="AB7" t="str">
        <f>RIGHT(Table4[[#This Row],[source_url]],LEN(Table4[[#This Row],[source_url]])-AA7)</f>
        <v>logy/wearables</v>
      </c>
    </row>
    <row r="8" spans="1:28" x14ac:dyDescent="0.2">
      <c r="A8" s="7" t="s">
        <v>614</v>
      </c>
      <c r="B8" s="3" t="s">
        <v>205</v>
      </c>
      <c r="C8" s="3" t="str">
        <f>CONCATENATE(Table4[[#This Row],[id]], "-", Table4[[#This Row],[name]])</f>
        <v xml:space="preserve"> 906749645  -UV Anti-Cancer Melanoma Skin Protection James Prattas Co</v>
      </c>
      <c r="D8" s="5">
        <v>41850</v>
      </c>
      <c r="E8" s="5">
        <v>41917</v>
      </c>
      <c r="F8" s="5">
        <v>41944</v>
      </c>
      <c r="G8" s="5" t="b">
        <f>EXACT(Table4[[#This Row],[created_at]],Table4[[#This Row],[launched_at]])</f>
        <v>0</v>
      </c>
      <c r="H8" s="3">
        <v>5</v>
      </c>
      <c r="I8" s="3" t="s">
        <v>15</v>
      </c>
      <c r="J8" s="3" t="str">
        <f>UPPER(Table4[[#This Row],[currency]])</f>
        <v>USD</v>
      </c>
      <c r="K8" s="3">
        <v>1</v>
      </c>
      <c r="L8" s="3">
        <v>96</v>
      </c>
      <c r="M8" s="23">
        <v>96</v>
      </c>
      <c r="N8" s="22">
        <v>50000</v>
      </c>
      <c r="O8" s="3" t="s">
        <v>498</v>
      </c>
      <c r="P8" s="3" t="s">
        <v>316</v>
      </c>
      <c r="Q8" s="3" t="s">
        <v>513</v>
      </c>
      <c r="R8" s="3" t="s">
        <v>40</v>
      </c>
      <c r="S8" s="4" t="b">
        <v>0</v>
      </c>
      <c r="T8" s="3" t="s">
        <v>17</v>
      </c>
      <c r="U8" s="3">
        <f>VALUE(Table4[[#This Row],[usd_pledged]])</f>
        <v>96</v>
      </c>
      <c r="V8" s="12">
        <v>0</v>
      </c>
      <c r="W8" t="str">
        <f>CONCATENATE(L8, " ", Table4[[#This Row],[Currency_CAP]], " ", PROPER("pledged"))</f>
        <v>96 USD Pledged</v>
      </c>
      <c r="X8" t="str">
        <f>LEFT(Table4[[#This Row],[state]],LEN(Table4[[#This Row],[state]])-7)</f>
        <v>HI</v>
      </c>
      <c r="Y8" t="str">
        <f>SUBSTITUTE(Table4[[#This Row],[Concat Names]],":","-")</f>
        <v xml:space="preserve"> 906749645  -UV Anti-Cancer Melanoma Skin Protection James Prattas Co</v>
      </c>
      <c r="Z8" t="str">
        <f t="shared" si="0"/>
        <v>906749645 -UV Anti-Cancer Melanoma Skin Protection James Prattas Co</v>
      </c>
      <c r="AA8">
        <f t="shared" si="1"/>
        <v>54</v>
      </c>
      <c r="AB8" t="str">
        <f>RIGHT(Table4[[#This Row],[source_url]],LEN(Table4[[#This Row],[source_url]])-AA8)</f>
        <v>logy/wearables</v>
      </c>
    </row>
    <row r="9" spans="1:28" x14ac:dyDescent="0.2">
      <c r="A9" s="7" t="s">
        <v>599</v>
      </c>
      <c r="B9" s="3" t="s">
        <v>180</v>
      </c>
      <c r="C9" s="3" t="str">
        <f>CONCATENATE(Table4[[#This Row],[id]], "-", Table4[[#This Row],[name]])</f>
        <v xml:space="preserve"> 661560435  -DAZLN: NFC Nails that Light Up Holiday Parties!</v>
      </c>
      <c r="D9" s="5">
        <v>41906</v>
      </c>
      <c r="E9" s="5">
        <v>41947</v>
      </c>
      <c r="F9" s="5">
        <v>41972</v>
      </c>
      <c r="G9" s="5" t="b">
        <f>EXACT(Table4[[#This Row],[created_at]],Table4[[#This Row],[launched_at]])</f>
        <v>0</v>
      </c>
      <c r="H9" s="3">
        <v>9</v>
      </c>
      <c r="I9" s="3" t="s">
        <v>15</v>
      </c>
      <c r="J9" s="3" t="str">
        <f>UPPER(Table4[[#This Row],[currency]])</f>
        <v>USD</v>
      </c>
      <c r="K9" s="3">
        <v>1</v>
      </c>
      <c r="L9" s="3">
        <v>726</v>
      </c>
      <c r="M9" s="23">
        <v>726</v>
      </c>
      <c r="N9" s="22">
        <v>10000</v>
      </c>
      <c r="O9" s="3" t="s">
        <v>408</v>
      </c>
      <c r="P9" s="3" t="s">
        <v>323</v>
      </c>
      <c r="Q9" s="3" t="s">
        <v>408</v>
      </c>
      <c r="R9" s="3" t="s">
        <v>40</v>
      </c>
      <c r="S9" s="4" t="b">
        <v>0</v>
      </c>
      <c r="T9" s="3" t="s">
        <v>17</v>
      </c>
      <c r="U9" s="3">
        <f>VALUE(Table4[[#This Row],[usd_pledged]])</f>
        <v>726</v>
      </c>
      <c r="V9" s="12">
        <v>0</v>
      </c>
      <c r="W9" t="str">
        <f>CONCATENATE(L9, " ", Table4[[#This Row],[Currency_CAP]], " ", PROPER("pledged"))</f>
        <v>726 USD Pledged</v>
      </c>
      <c r="X9" t="str">
        <f>LEFT(Table4[[#This Row],[state]],LEN(Table4[[#This Row],[state]])-7)</f>
        <v>Hong Kong Island</v>
      </c>
      <c r="Y9" t="str">
        <f>SUBSTITUTE(Table4[[#This Row],[Concat Names]],":","-")</f>
        <v xml:space="preserve"> 661560435  -DAZLN- NFC Nails that Light Up Holiday Parties!</v>
      </c>
      <c r="Z9" t="str">
        <f t="shared" si="0"/>
        <v>661560435 -DAZLN- NFC Nails that Light Up Holiday Parties!</v>
      </c>
      <c r="AA9">
        <f t="shared" si="1"/>
        <v>54</v>
      </c>
      <c r="AB9" t="str">
        <f>RIGHT(Table4[[#This Row],[source_url]],LEN(Table4[[#This Row],[source_url]])-AA9)</f>
        <v>logy/wearables</v>
      </c>
    </row>
    <row r="10" spans="1:28" x14ac:dyDescent="0.2">
      <c r="A10" s="7" t="s">
        <v>574</v>
      </c>
      <c r="B10" s="3" t="s">
        <v>95</v>
      </c>
      <c r="C10" s="3" t="str">
        <f>CONCATENATE(Table4[[#This Row],[id]], "-", Table4[[#This Row],[name]])</f>
        <v xml:space="preserve"> 439377345  -Vivir Wearable Technology - Heated Fitness Apparel</v>
      </c>
      <c r="D10" s="5">
        <v>41917</v>
      </c>
      <c r="E10" s="5">
        <v>42030</v>
      </c>
      <c r="F10" s="5">
        <v>42069</v>
      </c>
      <c r="G10" s="5" t="b">
        <f>EXACT(Table4[[#This Row],[created_at]],Table4[[#This Row],[launched_at]])</f>
        <v>0</v>
      </c>
      <c r="H10" s="3">
        <v>25</v>
      </c>
      <c r="I10" s="3" t="s">
        <v>15</v>
      </c>
      <c r="J10" s="3" t="str">
        <f>UPPER(Table4[[#This Row],[currency]])</f>
        <v>USD</v>
      </c>
      <c r="K10" s="3">
        <v>1</v>
      </c>
      <c r="L10" s="3">
        <v>6473</v>
      </c>
      <c r="M10" s="23">
        <v>6473</v>
      </c>
      <c r="N10" s="22">
        <v>22500</v>
      </c>
      <c r="O10" s="3" t="s">
        <v>392</v>
      </c>
      <c r="P10" s="3" t="s">
        <v>290</v>
      </c>
      <c r="Q10" s="3" t="s">
        <v>513</v>
      </c>
      <c r="R10" s="3" t="s">
        <v>40</v>
      </c>
      <c r="S10" s="4" t="b">
        <v>0</v>
      </c>
      <c r="T10" s="3" t="s">
        <v>24</v>
      </c>
      <c r="U10" s="3">
        <f>VALUE(Table4[[#This Row],[usd_pledged]])</f>
        <v>6473</v>
      </c>
      <c r="V10" s="12">
        <v>5.4948980000000001</v>
      </c>
      <c r="W10" t="str">
        <f>CONCATENATE(L10, " ", Table4[[#This Row],[Currency_CAP]], " ", PROPER("pledged"))</f>
        <v>6473 USD Pledged</v>
      </c>
      <c r="X10" t="str">
        <f>LEFT(Table4[[#This Row],[state]],LEN(Table4[[#This Row],[state]])-7)</f>
        <v>CA</v>
      </c>
      <c r="Y10" t="str">
        <f>SUBSTITUTE(Table4[[#This Row],[Concat Names]],":","-")</f>
        <v xml:space="preserve"> 439377345  -Vivir Wearable Technology - Heated Fitness Apparel</v>
      </c>
      <c r="Z10" t="str">
        <f t="shared" si="0"/>
        <v>439377345 -Vivir Wearable Technology - Heated Fitness Apparel</v>
      </c>
      <c r="AA10">
        <f t="shared" si="1"/>
        <v>54</v>
      </c>
      <c r="AB10" t="str">
        <f>RIGHT(Table4[[#This Row],[source_url]],LEN(Table4[[#This Row],[source_url]])-AA10)</f>
        <v>logy/wearables</v>
      </c>
    </row>
    <row r="11" spans="1:28" x14ac:dyDescent="0.2">
      <c r="A11" s="7" t="s">
        <v>615</v>
      </c>
      <c r="B11" s="3" t="s">
        <v>206</v>
      </c>
      <c r="C11" s="3" t="str">
        <f>CONCATENATE(Table4[[#This Row],[id]], "-", Table4[[#This Row],[name]])</f>
        <v xml:space="preserve"> 1253217418  -jmpLite - The first human powered safety light for runners</v>
      </c>
      <c r="D11" s="5">
        <v>41918</v>
      </c>
      <c r="E11" s="5">
        <v>41947</v>
      </c>
      <c r="F11" s="5">
        <v>41987</v>
      </c>
      <c r="G11" s="5" t="b">
        <f>EXACT(Table4[[#This Row],[created_at]],Table4[[#This Row],[launched_at]])</f>
        <v>0</v>
      </c>
      <c r="H11" s="3">
        <v>101</v>
      </c>
      <c r="I11" s="3" t="s">
        <v>15</v>
      </c>
      <c r="J11" s="3" t="str">
        <f>UPPER(Table4[[#This Row],[currency]])</f>
        <v>USD</v>
      </c>
      <c r="K11" s="3">
        <v>1</v>
      </c>
      <c r="L11" s="3">
        <v>3863</v>
      </c>
      <c r="M11" s="23">
        <v>3863</v>
      </c>
      <c r="N11" s="22">
        <v>50000</v>
      </c>
      <c r="O11" s="3" t="s">
        <v>380</v>
      </c>
      <c r="P11" s="3" t="s">
        <v>291</v>
      </c>
      <c r="Q11" s="3" t="s">
        <v>513</v>
      </c>
      <c r="R11" s="3" t="s">
        <v>40</v>
      </c>
      <c r="S11" s="4" t="b">
        <v>0</v>
      </c>
      <c r="T11" s="3" t="s">
        <v>17</v>
      </c>
      <c r="U11" s="3">
        <f>VALUE(Table4[[#This Row],[usd_pledged]])</f>
        <v>3863</v>
      </c>
      <c r="V11" s="12">
        <v>20</v>
      </c>
      <c r="W11" t="str">
        <f>CONCATENATE(L11, " ", Table4[[#This Row],[Currency_CAP]], " ", PROPER("pledged"))</f>
        <v>3863 USD Pledged</v>
      </c>
      <c r="X11" t="str">
        <f>LEFT(Table4[[#This Row],[state]],LEN(Table4[[#This Row],[state]])-7)</f>
        <v>AZ</v>
      </c>
      <c r="Y11" t="str">
        <f>SUBSTITUTE(Table4[[#This Row],[Concat Names]],":","-")</f>
        <v xml:space="preserve"> 1253217418  -jmpLite - The first human powered safety light for runners</v>
      </c>
      <c r="Z11" t="str">
        <f t="shared" si="0"/>
        <v>1253217418 -jmpLite - The first human powered safety light for runners</v>
      </c>
      <c r="AA11">
        <f t="shared" si="1"/>
        <v>54</v>
      </c>
      <c r="AB11" t="str">
        <f>RIGHT(Table4[[#This Row],[source_url]],LEN(Table4[[#This Row],[source_url]])-AA11)</f>
        <v>logy/wearables</v>
      </c>
    </row>
    <row r="12" spans="1:28" x14ac:dyDescent="0.2">
      <c r="A12" s="7" t="s">
        <v>578</v>
      </c>
      <c r="B12" s="3" t="s">
        <v>100</v>
      </c>
      <c r="C12" s="3" t="str">
        <f>CONCATENATE(Table4[[#This Row],[id]], "-", Table4[[#This Row],[name]])</f>
        <v xml:space="preserve"> 375787146  -3D My Kicks - 3dmykicks.com</v>
      </c>
      <c r="D12" s="5">
        <v>41926</v>
      </c>
      <c r="E12" s="5">
        <v>41943</v>
      </c>
      <c r="F12" s="5">
        <v>41973</v>
      </c>
      <c r="G12" s="5" t="b">
        <f>EXACT(Table4[[#This Row],[created_at]],Table4[[#This Row],[launched_at]])</f>
        <v>0</v>
      </c>
      <c r="H12" s="3">
        <v>1</v>
      </c>
      <c r="I12" s="3" t="s">
        <v>15</v>
      </c>
      <c r="J12" s="3" t="str">
        <f>UPPER(Table4[[#This Row],[currency]])</f>
        <v>USD</v>
      </c>
      <c r="K12" s="3">
        <v>1</v>
      </c>
      <c r="L12" s="3">
        <v>37</v>
      </c>
      <c r="M12" s="23">
        <v>37</v>
      </c>
      <c r="N12" s="22">
        <v>62000</v>
      </c>
      <c r="O12" s="3" t="s">
        <v>351</v>
      </c>
      <c r="P12" s="3" t="s">
        <v>302</v>
      </c>
      <c r="Q12" s="3" t="s">
        <v>513</v>
      </c>
      <c r="R12" s="3" t="s">
        <v>40</v>
      </c>
      <c r="S12" s="4" t="b">
        <v>0</v>
      </c>
      <c r="T12" s="3" t="s">
        <v>17</v>
      </c>
      <c r="U12" s="3">
        <f>VALUE(Table4[[#This Row],[usd_pledged]])</f>
        <v>37</v>
      </c>
      <c r="V12" s="12">
        <v>25</v>
      </c>
      <c r="W12" t="str">
        <f>CONCATENATE(L12, " ", Table4[[#This Row],[Currency_CAP]], " ", PROPER("pledged"))</f>
        <v>37 USD Pledged</v>
      </c>
      <c r="X12" t="str">
        <f>LEFT(Table4[[#This Row],[state]],LEN(Table4[[#This Row],[state]])-7)</f>
        <v>LA</v>
      </c>
      <c r="Y12" t="str">
        <f>SUBSTITUTE(Table4[[#This Row],[Concat Names]],":","-")</f>
        <v xml:space="preserve"> 375787146  -3D My Kicks - 3dmykicks.com</v>
      </c>
      <c r="Z12" t="str">
        <f t="shared" si="0"/>
        <v>375787146 -3D My Kicks - 3dmykicks.com</v>
      </c>
      <c r="AA12">
        <f t="shared" si="1"/>
        <v>54</v>
      </c>
      <c r="AB12" t="str">
        <f>RIGHT(Table4[[#This Row],[source_url]],LEN(Table4[[#This Row],[source_url]])-AA12)</f>
        <v>logy/wearables</v>
      </c>
    </row>
    <row r="13" spans="1:28" x14ac:dyDescent="0.2">
      <c r="A13" s="7" t="s">
        <v>553</v>
      </c>
      <c r="B13" s="3" t="s">
        <v>61</v>
      </c>
      <c r="C13" s="3" t="str">
        <f>CONCATENATE(Table4[[#This Row],[id]], "-", Table4[[#This Row],[name]])</f>
        <v xml:space="preserve"> 946017695  -Sole Spa, pedicure while you walk!!! (Canceled)</v>
      </c>
      <c r="D13" s="5">
        <v>41937</v>
      </c>
      <c r="E13" s="5">
        <v>41950</v>
      </c>
      <c r="F13" s="5">
        <v>42010</v>
      </c>
      <c r="G13" s="5" t="b">
        <f>EXACT(Table4[[#This Row],[created_at]],Table4[[#This Row],[launched_at]])</f>
        <v>0</v>
      </c>
      <c r="H13" s="3">
        <v>0</v>
      </c>
      <c r="I13" s="3" t="s">
        <v>15</v>
      </c>
      <c r="J13" s="3" t="str">
        <f>UPPER(Table4[[#This Row],[currency]])</f>
        <v>USD</v>
      </c>
      <c r="K13" s="3">
        <v>1</v>
      </c>
      <c r="L13" s="3">
        <v>0</v>
      </c>
      <c r="M13" s="23">
        <v>0</v>
      </c>
      <c r="N13" s="22">
        <v>50000</v>
      </c>
      <c r="O13" s="3" t="s">
        <v>436</v>
      </c>
      <c r="P13" s="3" t="s">
        <v>313</v>
      </c>
      <c r="Q13" s="3" t="s">
        <v>513</v>
      </c>
      <c r="R13" s="3" t="s">
        <v>40</v>
      </c>
      <c r="S13" s="4" t="b">
        <v>0</v>
      </c>
      <c r="T13" s="3" t="s">
        <v>24</v>
      </c>
      <c r="U13" s="3">
        <f>VALUE(Table4[[#This Row],[usd_pledged]])</f>
        <v>0</v>
      </c>
      <c r="V13" s="12">
        <v>26.361227800000002</v>
      </c>
      <c r="W13" t="str">
        <f>CONCATENATE(L13, " ", Table4[[#This Row],[Currency_CAP]], " ", PROPER("pledged"))</f>
        <v>0 USD Pledged</v>
      </c>
      <c r="X13" t="str">
        <f>LEFT(Table4[[#This Row],[state]],LEN(Table4[[#This Row],[state]])-7)</f>
        <v>CT</v>
      </c>
      <c r="Y13" t="str">
        <f>SUBSTITUTE(Table4[[#This Row],[Concat Names]],":","-")</f>
        <v xml:space="preserve"> 946017695  -Sole Spa, pedicure while you walk!!! (Canceled)</v>
      </c>
      <c r="Z13" t="str">
        <f t="shared" si="0"/>
        <v>946017695 -Sole Spa, pedicure while you walk!!! (Canceled)</v>
      </c>
      <c r="AA13">
        <f t="shared" si="1"/>
        <v>54</v>
      </c>
      <c r="AB13" t="str">
        <f>RIGHT(Table4[[#This Row],[source_url]],LEN(Table4[[#This Row],[source_url]])-AA13)</f>
        <v>logy/wearables</v>
      </c>
    </row>
    <row r="14" spans="1:28" x14ac:dyDescent="0.2">
      <c r="A14" s="7" t="s">
        <v>628</v>
      </c>
      <c r="B14" s="3" t="s">
        <v>260</v>
      </c>
      <c r="C14" s="3" t="str">
        <f>CONCATENATE(Table4[[#This Row],[id]], "-", Table4[[#This Row],[name]])</f>
        <v xml:space="preserve"> 1320781728  -iPhanny</v>
      </c>
      <c r="D14" s="5">
        <v>41937</v>
      </c>
      <c r="E14" s="5">
        <v>41941</v>
      </c>
      <c r="F14" s="5">
        <v>41971</v>
      </c>
      <c r="G14" s="5" t="b">
        <f>EXACT(Table4[[#This Row],[created_at]],Table4[[#This Row],[launched_at]])</f>
        <v>0</v>
      </c>
      <c r="H14" s="3">
        <v>8</v>
      </c>
      <c r="I14" s="3" t="s">
        <v>15</v>
      </c>
      <c r="J14" s="3" t="str">
        <f>UPPER(Table4[[#This Row],[currency]])</f>
        <v>USD</v>
      </c>
      <c r="K14" s="3">
        <v>1</v>
      </c>
      <c r="L14" s="3">
        <v>65</v>
      </c>
      <c r="M14" s="23">
        <v>65</v>
      </c>
      <c r="N14" s="22">
        <v>5000</v>
      </c>
      <c r="O14" s="3" t="s">
        <v>399</v>
      </c>
      <c r="P14" s="3" t="s">
        <v>318</v>
      </c>
      <c r="Q14" s="3" t="s">
        <v>513</v>
      </c>
      <c r="R14" s="3" t="s">
        <v>40</v>
      </c>
      <c r="S14" s="4" t="b">
        <v>0</v>
      </c>
      <c r="T14" s="3" t="s">
        <v>17</v>
      </c>
      <c r="U14" s="3">
        <f>VALUE(Table4[[#This Row],[usd_pledged]])</f>
        <v>65</v>
      </c>
      <c r="V14" s="12">
        <v>32.421633200000002</v>
      </c>
      <c r="W14" t="str">
        <f>CONCATENATE(L14, " ", Table4[[#This Row],[Currency_CAP]], " ", PROPER("pledged"))</f>
        <v>65 USD Pledged</v>
      </c>
      <c r="X14" t="str">
        <f>LEFT(Table4[[#This Row],[state]],LEN(Table4[[#This Row],[state]])-7)</f>
        <v>IN</v>
      </c>
      <c r="Y14" t="str">
        <f>SUBSTITUTE(Table4[[#This Row],[Concat Names]],":","-")</f>
        <v xml:space="preserve"> 1320781728  -iPhanny</v>
      </c>
      <c r="Z14" t="str">
        <f t="shared" si="0"/>
        <v>1320781728 -iPhanny</v>
      </c>
      <c r="AA14">
        <f t="shared" si="1"/>
        <v>54</v>
      </c>
      <c r="AB14" t="str">
        <f>RIGHT(Table4[[#This Row],[source_url]],LEN(Table4[[#This Row],[source_url]])-AA14)</f>
        <v>logy/wearables</v>
      </c>
    </row>
    <row r="15" spans="1:28" x14ac:dyDescent="0.2">
      <c r="A15" s="7" t="s">
        <v>546</v>
      </c>
      <c r="B15" s="3" t="s">
        <v>48</v>
      </c>
      <c r="C15" s="3" t="str">
        <f>CONCATENATE(Table4[[#This Row],[id]], "-", Table4[[#This Row],[name]])</f>
        <v xml:space="preserve"> 1950299864  -Fineck: The World‚Äôs First Wearable Device For Your Neck</v>
      </c>
      <c r="D15" s="5">
        <v>41946</v>
      </c>
      <c r="E15" s="5">
        <v>41969</v>
      </c>
      <c r="F15" s="5">
        <v>42014</v>
      </c>
      <c r="G15" s="5" t="b">
        <f>EXACT(Table4[[#This Row],[created_at]],Table4[[#This Row],[launched_at]])</f>
        <v>0</v>
      </c>
      <c r="H15" s="3">
        <v>387</v>
      </c>
      <c r="I15" s="3" t="s">
        <v>15</v>
      </c>
      <c r="J15" s="3" t="str">
        <f>UPPER(Table4[[#This Row],[currency]])</f>
        <v>USD</v>
      </c>
      <c r="K15" s="3">
        <v>1</v>
      </c>
      <c r="L15" s="3">
        <v>31655</v>
      </c>
      <c r="M15" s="23">
        <v>31655</v>
      </c>
      <c r="N15" s="22">
        <v>20000</v>
      </c>
      <c r="O15" s="3" t="s">
        <v>402</v>
      </c>
      <c r="P15" s="3" t="s">
        <v>319</v>
      </c>
      <c r="Q15" s="3" t="s">
        <v>522</v>
      </c>
      <c r="R15" s="3" t="s">
        <v>40</v>
      </c>
      <c r="S15" s="4" t="b">
        <v>0</v>
      </c>
      <c r="T15" s="3" t="s">
        <v>16</v>
      </c>
      <c r="U15" s="3">
        <f>VALUE(Table4[[#This Row],[usd_pledged]])</f>
        <v>31655</v>
      </c>
      <c r="V15" s="12">
        <v>37</v>
      </c>
      <c r="W15" t="str">
        <f>CONCATENATE(L15, " ", Table4[[#This Row],[Currency_CAP]], " ", PROPER("pledged"))</f>
        <v>31655 USD Pledged</v>
      </c>
      <c r="X15" t="str">
        <f>LEFT(Table4[[#This Row],[state]],LEN(Table4[[#This Row],[state]])-7)</f>
        <v>Beijing</v>
      </c>
      <c r="Y15" t="str">
        <f>SUBSTITUTE(Table4[[#This Row],[Concat Names]],":","-")</f>
        <v xml:space="preserve"> 1950299864  -Fineck- The World‚Äôs First Wearable Device For Your Neck</v>
      </c>
      <c r="Z15" t="str">
        <f t="shared" si="0"/>
        <v>1950299864 -Fineck- The World‚Äôs First Wearable Device For Your Neck</v>
      </c>
      <c r="AA15">
        <f t="shared" si="1"/>
        <v>54</v>
      </c>
      <c r="AB15" t="str">
        <f>RIGHT(Table4[[#This Row],[source_url]],LEN(Table4[[#This Row],[source_url]])-AA15)</f>
        <v>logy/wearables</v>
      </c>
    </row>
    <row r="16" spans="1:28" x14ac:dyDescent="0.2">
      <c r="A16" s="7" t="s">
        <v>572</v>
      </c>
      <c r="B16" s="3" t="s">
        <v>93</v>
      </c>
      <c r="C16" s="3" t="str">
        <f>CONCATENATE(Table4[[#This Row],[id]], "-", Table4[[#This Row],[name]])</f>
        <v xml:space="preserve"> 431595117  -CHIPS¬Æ - Universal Bluetooth Wireless All-In-One Headphones</v>
      </c>
      <c r="D16" s="5">
        <v>41955</v>
      </c>
      <c r="E16" s="5">
        <v>41975</v>
      </c>
      <c r="F16" s="5">
        <v>42035</v>
      </c>
      <c r="G16" s="5" t="b">
        <f>EXACT(Table4[[#This Row],[created_at]],Table4[[#This Row],[launched_at]])</f>
        <v>0</v>
      </c>
      <c r="H16" s="3">
        <v>902</v>
      </c>
      <c r="I16" s="3" t="s">
        <v>15</v>
      </c>
      <c r="J16" s="3" t="str">
        <f>UPPER(Table4[[#This Row],[currency]])</f>
        <v>USD</v>
      </c>
      <c r="K16" s="3">
        <v>1</v>
      </c>
      <c r="L16" s="3">
        <v>123818</v>
      </c>
      <c r="M16" s="23">
        <v>123818</v>
      </c>
      <c r="N16" s="22">
        <v>30000</v>
      </c>
      <c r="O16" s="3" t="s">
        <v>338</v>
      </c>
      <c r="P16" s="3" t="s">
        <v>290</v>
      </c>
      <c r="Q16" s="3" t="s">
        <v>513</v>
      </c>
      <c r="R16" s="3" t="s">
        <v>40</v>
      </c>
      <c r="S16" s="4" t="b">
        <v>1</v>
      </c>
      <c r="T16" s="3" t="s">
        <v>16</v>
      </c>
      <c r="U16" s="3">
        <f>VALUE(Table4[[#This Row],[usd_pledged]])</f>
        <v>123818</v>
      </c>
      <c r="V16" s="12">
        <v>60</v>
      </c>
      <c r="W16" t="str">
        <f>CONCATENATE(L16, " ", Table4[[#This Row],[Currency_CAP]], " ", PROPER("pledged"))</f>
        <v>123818 USD Pledged</v>
      </c>
      <c r="X16" t="str">
        <f>LEFT(Table4[[#This Row],[state]],LEN(Table4[[#This Row],[state]])-7)</f>
        <v>CA</v>
      </c>
      <c r="Y16" t="str">
        <f>SUBSTITUTE(Table4[[#This Row],[Concat Names]],":","-")</f>
        <v xml:space="preserve"> 431595117  -CHIPS¬Æ - Universal Bluetooth Wireless All-In-One Headphones</v>
      </c>
      <c r="Z16" t="str">
        <f t="shared" si="0"/>
        <v>431595117 -CHIPS¬Æ - Universal Bluetooth Wireless All-In-One Headphones</v>
      </c>
      <c r="AA16">
        <f t="shared" si="1"/>
        <v>54</v>
      </c>
      <c r="AB16" t="str">
        <f>RIGHT(Table4[[#This Row],[source_url]],LEN(Table4[[#This Row],[source_url]])-AA16)</f>
        <v>logy/wearables</v>
      </c>
    </row>
    <row r="17" spans="1:28" x14ac:dyDescent="0.2">
      <c r="A17" s="7" t="s">
        <v>593</v>
      </c>
      <c r="B17" s="3" t="s">
        <v>173</v>
      </c>
      <c r="C17" s="3" t="str">
        <f>CONCATENATE(Table4[[#This Row],[id]], "-", Table4[[#This Row],[name]])</f>
        <v xml:space="preserve"> 1982588641  -Stompz - The World of Virtual Reality at Your Feet</v>
      </c>
      <c r="D17" s="5">
        <v>42008</v>
      </c>
      <c r="E17" s="5">
        <v>42074</v>
      </c>
      <c r="F17" s="5">
        <v>42104</v>
      </c>
      <c r="G17" s="5" t="b">
        <f>EXACT(Table4[[#This Row],[created_at]],Table4[[#This Row],[launched_at]])</f>
        <v>0</v>
      </c>
      <c r="H17" s="3">
        <v>98</v>
      </c>
      <c r="I17" s="3" t="s">
        <v>15</v>
      </c>
      <c r="J17" s="3" t="str">
        <f>UPPER(Table4[[#This Row],[currency]])</f>
        <v>USD</v>
      </c>
      <c r="K17" s="3">
        <v>1</v>
      </c>
      <c r="L17" s="3">
        <v>10267</v>
      </c>
      <c r="M17" s="23">
        <v>10267</v>
      </c>
      <c r="N17" s="22">
        <v>100000</v>
      </c>
      <c r="O17" s="3" t="s">
        <v>371</v>
      </c>
      <c r="P17" s="3" t="s">
        <v>290</v>
      </c>
      <c r="Q17" s="3" t="s">
        <v>513</v>
      </c>
      <c r="R17" s="3" t="s">
        <v>40</v>
      </c>
      <c r="S17" s="4" t="b">
        <v>0</v>
      </c>
      <c r="T17" s="3" t="s">
        <v>24</v>
      </c>
      <c r="U17" s="3">
        <f>VALUE(Table4[[#This Row],[usd_pledged]])</f>
        <v>10267</v>
      </c>
      <c r="V17" s="12">
        <v>65</v>
      </c>
      <c r="W17" t="str">
        <f>CONCATENATE(L17, " ", Table4[[#This Row],[Currency_CAP]], " ", PROPER("pledged"))</f>
        <v>10267 USD Pledged</v>
      </c>
      <c r="X17" t="str">
        <f>LEFT(Table4[[#This Row],[state]],LEN(Table4[[#This Row],[state]])-7)</f>
        <v>CA</v>
      </c>
      <c r="Y17" t="str">
        <f>SUBSTITUTE(Table4[[#This Row],[Concat Names]],":","-")</f>
        <v xml:space="preserve"> 1982588641  -Stompz - The World of Virtual Reality at Your Feet</v>
      </c>
      <c r="Z17" t="str">
        <f t="shared" si="0"/>
        <v>1982588641 -Stompz - The World of Virtual Reality at Your Feet</v>
      </c>
      <c r="AA17">
        <f t="shared" si="1"/>
        <v>54</v>
      </c>
      <c r="AB17" t="str">
        <f>RIGHT(Table4[[#This Row],[source_url]],LEN(Table4[[#This Row],[source_url]])-AA17)</f>
        <v>logy/wearables</v>
      </c>
    </row>
    <row r="18" spans="1:28" x14ac:dyDescent="0.2">
      <c r="A18" s="7" t="s">
        <v>544</v>
      </c>
      <c r="B18" s="3" t="s">
        <v>43</v>
      </c>
      <c r="C18" s="3" t="str">
        <f>CONCATENATE(Table4[[#This Row],[id]], "-", Table4[[#This Row],[name]])</f>
        <v xml:space="preserve"> 411145464  -Oceans Project: Bringing the Ocean Alive for Kids Worldwide</v>
      </c>
      <c r="D18" s="5">
        <v>42024</v>
      </c>
      <c r="E18" s="5">
        <v>42042</v>
      </c>
      <c r="F18" s="5">
        <v>42072</v>
      </c>
      <c r="G18" s="5" t="b">
        <f>EXACT(Table4[[#This Row],[created_at]],Table4[[#This Row],[launched_at]])</f>
        <v>0</v>
      </c>
      <c r="H18" s="3">
        <v>139</v>
      </c>
      <c r="I18" s="3" t="s">
        <v>19</v>
      </c>
      <c r="J18" s="3" t="str">
        <f>UPPER(Table4[[#This Row],[currency]])</f>
        <v>GBP</v>
      </c>
      <c r="K18" s="3">
        <v>1.53282311</v>
      </c>
      <c r="L18" s="3">
        <v>4973</v>
      </c>
      <c r="M18" s="23">
        <v>7622.7293300000001</v>
      </c>
      <c r="N18" s="22">
        <v>35000</v>
      </c>
      <c r="O18" s="3" t="s">
        <v>424</v>
      </c>
      <c r="P18" s="3" t="s">
        <v>295</v>
      </c>
      <c r="Q18" s="3" t="s">
        <v>515</v>
      </c>
      <c r="R18" s="3" t="s">
        <v>40</v>
      </c>
      <c r="S18" s="4" t="b">
        <v>1</v>
      </c>
      <c r="T18" s="3" t="s">
        <v>17</v>
      </c>
      <c r="U18" s="3">
        <f>VALUE(Table4[[#This Row],[usd_pledged]])</f>
        <v>7622.7293300000001</v>
      </c>
      <c r="V18" s="12">
        <v>75.861990800000001</v>
      </c>
      <c r="W18" t="str">
        <f>CONCATENATE(L18, " ", Table4[[#This Row],[Currency_CAP]], " ", PROPER("pledged"))</f>
        <v>4973 GBP Pledged</v>
      </c>
      <c r="X18" t="str">
        <f>LEFT(Table4[[#This Row],[state]],LEN(Table4[[#This Row],[state]])-7)</f>
        <v>England</v>
      </c>
      <c r="Y18" t="str">
        <f>SUBSTITUTE(Table4[[#This Row],[Concat Names]],":","-")</f>
        <v xml:space="preserve"> 411145464  -Oceans Project- Bringing the Ocean Alive for Kids Worldwide</v>
      </c>
      <c r="Z18" t="str">
        <f t="shared" si="0"/>
        <v>411145464 -Oceans Project- Bringing the Ocean Alive for Kids Worldwide</v>
      </c>
      <c r="AA18">
        <f t="shared" si="1"/>
        <v>54</v>
      </c>
      <c r="AB18" t="str">
        <f>RIGHT(Table4[[#This Row],[source_url]],LEN(Table4[[#This Row],[source_url]])-AA18)</f>
        <v>logy/wearables</v>
      </c>
    </row>
    <row r="19" spans="1:28" x14ac:dyDescent="0.2">
      <c r="A19" s="7" t="s">
        <v>617</v>
      </c>
      <c r="B19" s="3" t="s">
        <v>209</v>
      </c>
      <c r="C19" s="3" t="str">
        <f>CONCATENATE(Table4[[#This Row],[id]], "-", Table4[[#This Row],[name]])</f>
        <v xml:space="preserve"> 1225530140  -Phone Silks - The best way to carry your smart phone!</v>
      </c>
      <c r="D19" s="5">
        <v>42051</v>
      </c>
      <c r="E19" s="5">
        <v>42100</v>
      </c>
      <c r="F19" s="5">
        <v>42155</v>
      </c>
      <c r="G19" s="5" t="b">
        <f>EXACT(Table4[[#This Row],[created_at]],Table4[[#This Row],[launched_at]])</f>
        <v>0</v>
      </c>
      <c r="H19" s="3">
        <v>152</v>
      </c>
      <c r="I19" s="3" t="s">
        <v>15</v>
      </c>
      <c r="J19" s="3" t="str">
        <f>UPPER(Table4[[#This Row],[currency]])</f>
        <v>USD</v>
      </c>
      <c r="K19" s="3">
        <v>1</v>
      </c>
      <c r="L19" s="3">
        <v>26452</v>
      </c>
      <c r="M19" s="23">
        <v>26452</v>
      </c>
      <c r="N19" s="22">
        <v>25000</v>
      </c>
      <c r="O19" s="3" t="s">
        <v>499</v>
      </c>
      <c r="P19" s="3" t="s">
        <v>317</v>
      </c>
      <c r="Q19" s="3" t="s">
        <v>513</v>
      </c>
      <c r="R19" s="3" t="s">
        <v>40</v>
      </c>
      <c r="S19" s="4" t="b">
        <v>0</v>
      </c>
      <c r="T19" s="3" t="s">
        <v>16</v>
      </c>
      <c r="U19" s="3">
        <f>VALUE(Table4[[#This Row],[usd_pledged]])</f>
        <v>26452</v>
      </c>
      <c r="V19" s="12">
        <v>95</v>
      </c>
      <c r="W19" t="str">
        <f>CONCATENATE(L19, " ", Table4[[#This Row],[Currency_CAP]], " ", PROPER("pledged"))</f>
        <v>26452 USD Pledged</v>
      </c>
      <c r="X19" t="str">
        <f>LEFT(Table4[[#This Row],[state]],LEN(Table4[[#This Row],[state]])-7)</f>
        <v>SC</v>
      </c>
      <c r="Y19" t="str">
        <f>SUBSTITUTE(Table4[[#This Row],[Concat Names]],":","-")</f>
        <v xml:space="preserve"> 1225530140  -Phone Silks - The best way to carry your smart phone!</v>
      </c>
      <c r="Z19" t="str">
        <f t="shared" si="0"/>
        <v>1225530140 -Phone Silks - The best way to carry your smart phone!</v>
      </c>
      <c r="AA19">
        <f t="shared" si="1"/>
        <v>54</v>
      </c>
      <c r="AB19" t="str">
        <f>RIGHT(Table4[[#This Row],[source_url]],LEN(Table4[[#This Row],[source_url]])-AA19)</f>
        <v>logy/wearables</v>
      </c>
    </row>
    <row r="20" spans="1:28" x14ac:dyDescent="0.2">
      <c r="A20" s="7" t="s">
        <v>644</v>
      </c>
      <c r="B20" s="3" t="s">
        <v>286</v>
      </c>
      <c r="C20" s="3" t="str">
        <f>CONCATENATE(Table4[[#This Row],[id]], "-", Table4[[#This Row],[name]])</f>
        <v xml:space="preserve"> 1067163623  -Coros LIVE, E-Paper Smartwatch, up to 6 Weeks Battery Life</v>
      </c>
      <c r="D20" s="5">
        <v>42072</v>
      </c>
      <c r="E20" s="5">
        <v>42085</v>
      </c>
      <c r="F20" s="5">
        <v>42115</v>
      </c>
      <c r="G20" s="5" t="b">
        <f>EXACT(Table4[[#This Row],[created_at]],Table4[[#This Row],[launched_at]])</f>
        <v>0</v>
      </c>
      <c r="H20" s="3">
        <v>134</v>
      </c>
      <c r="I20" s="3" t="s">
        <v>15</v>
      </c>
      <c r="J20" s="3" t="str">
        <f>UPPER(Table4[[#This Row],[currency]])</f>
        <v>USD</v>
      </c>
      <c r="K20" s="3">
        <v>1</v>
      </c>
      <c r="L20" s="3">
        <v>7644</v>
      </c>
      <c r="M20" s="23">
        <v>7644</v>
      </c>
      <c r="N20" s="22">
        <v>20000</v>
      </c>
      <c r="O20" s="3" t="s">
        <v>458</v>
      </c>
      <c r="P20" s="3" t="s">
        <v>290</v>
      </c>
      <c r="Q20" s="3" t="s">
        <v>513</v>
      </c>
      <c r="R20" s="3" t="s">
        <v>40</v>
      </c>
      <c r="S20" s="4" t="b">
        <v>0</v>
      </c>
      <c r="T20" s="3" t="s">
        <v>29</v>
      </c>
      <c r="U20" s="3">
        <f>VALUE(Table4[[#This Row],[usd_pledged]])</f>
        <v>7644</v>
      </c>
      <c r="V20" s="12">
        <v>96</v>
      </c>
      <c r="W20" t="str">
        <f>CONCATENATE(L20, " ", Table4[[#This Row],[Currency_CAP]], " ", PROPER("pledged"))</f>
        <v>7644 USD Pledged</v>
      </c>
      <c r="X20" t="str">
        <f>LEFT(Table4[[#This Row],[state]],LEN(Table4[[#This Row],[state]])-7)</f>
        <v>CA</v>
      </c>
      <c r="Y20" t="str">
        <f>SUBSTITUTE(Table4[[#This Row],[Concat Names]],":","-")</f>
        <v xml:space="preserve"> 1067163623  -Coros LIVE, E-Paper Smartwatch, up to 6 Weeks Battery Life</v>
      </c>
      <c r="Z20" t="str">
        <f t="shared" si="0"/>
        <v>1067163623 -Coros LIVE, E-Paper Smartwatch, up to 6 Weeks Battery Life</v>
      </c>
      <c r="AA20">
        <f t="shared" si="1"/>
        <v>54</v>
      </c>
      <c r="AB20" t="str">
        <f>RIGHT(Table4[[#This Row],[source_url]],LEN(Table4[[#This Row],[source_url]])-AA20)</f>
        <v>logy/wearables</v>
      </c>
    </row>
    <row r="21" spans="1:28" x14ac:dyDescent="0.2">
      <c r="A21" s="7" t="s">
        <v>592</v>
      </c>
      <c r="B21" s="3" t="s">
        <v>172</v>
      </c>
      <c r="C21" s="3" t="str">
        <f>CONCATENATE(Table4[[#This Row],[id]], "-", Table4[[#This Row],[name]])</f>
        <v xml:space="preserve"> 1641118074  -weActiv - Connect. Share. Compare!</v>
      </c>
      <c r="D21" s="5">
        <v>42076</v>
      </c>
      <c r="E21" s="5">
        <v>42410</v>
      </c>
      <c r="F21" s="5">
        <v>42440</v>
      </c>
      <c r="G21" s="5" t="b">
        <f>EXACT(Table4[[#This Row],[created_at]],Table4[[#This Row],[launched_at]])</f>
        <v>0</v>
      </c>
      <c r="H21" s="3">
        <v>6</v>
      </c>
      <c r="I21" s="3" t="s">
        <v>19</v>
      </c>
      <c r="J21" s="3" t="str">
        <f>UPPER(Table4[[#This Row],[currency]])</f>
        <v>GBP</v>
      </c>
      <c r="K21" s="3">
        <v>1.4426558700000001</v>
      </c>
      <c r="L21" s="3">
        <v>201</v>
      </c>
      <c r="M21" s="23">
        <v>289.97383000000002</v>
      </c>
      <c r="N21" s="22">
        <v>5000</v>
      </c>
      <c r="O21" s="3" t="s">
        <v>437</v>
      </c>
      <c r="P21" s="3" t="s">
        <v>295</v>
      </c>
      <c r="Q21" s="3" t="s">
        <v>515</v>
      </c>
      <c r="R21" s="3" t="s">
        <v>40</v>
      </c>
      <c r="S21" s="4" t="b">
        <v>0</v>
      </c>
      <c r="T21" s="3" t="s">
        <v>17</v>
      </c>
      <c r="U21" s="3">
        <f>VALUE(Table4[[#This Row],[usd_pledged]])</f>
        <v>289.97383000000002</v>
      </c>
      <c r="V21" s="12">
        <v>116.70762000000001</v>
      </c>
      <c r="W21" t="str">
        <f>CONCATENATE(L21, " ", Table4[[#This Row],[Currency_CAP]], " ", PROPER("pledged"))</f>
        <v>201 GBP Pledged</v>
      </c>
      <c r="X21" t="str">
        <f>LEFT(Table4[[#This Row],[state]],LEN(Table4[[#This Row],[state]])-7)</f>
        <v>England</v>
      </c>
      <c r="Y21" t="str">
        <f>SUBSTITUTE(Table4[[#This Row],[Concat Names]],":","-")</f>
        <v xml:space="preserve"> 1641118074  -weActiv - Connect. Share. Compare!</v>
      </c>
      <c r="Z21" t="str">
        <f t="shared" si="0"/>
        <v>1641118074 -weActiv - Connect. Share. Compare!</v>
      </c>
      <c r="AA21">
        <f t="shared" si="1"/>
        <v>54</v>
      </c>
      <c r="AB21" t="str">
        <f>RIGHT(Table4[[#This Row],[source_url]],LEN(Table4[[#This Row],[source_url]])-AA21)</f>
        <v>logy/wearables</v>
      </c>
    </row>
    <row r="22" spans="1:28" x14ac:dyDescent="0.2">
      <c r="A22" s="7" t="s">
        <v>563</v>
      </c>
      <c r="B22" s="3" t="s">
        <v>80</v>
      </c>
      <c r="C22" s="3" t="str">
        <f>CONCATENATE(Table4[[#This Row],[id]], "-", Table4[[#This Row],[name]])</f>
        <v xml:space="preserve"> 471706273  -Solofy Envy: A Solar Powered Backpack Without Compromise</v>
      </c>
      <c r="D22" s="5">
        <v>42080</v>
      </c>
      <c r="E22" s="5">
        <v>42083</v>
      </c>
      <c r="F22" s="5">
        <v>42127</v>
      </c>
      <c r="G22" s="5" t="b">
        <f>EXACT(Table4[[#This Row],[created_at]],Table4[[#This Row],[launched_at]])</f>
        <v>0</v>
      </c>
      <c r="H22" s="3">
        <v>17</v>
      </c>
      <c r="I22" s="3" t="s">
        <v>18</v>
      </c>
      <c r="J22" s="3" t="str">
        <f>UPPER(Table4[[#This Row],[currency]])</f>
        <v>EUR</v>
      </c>
      <c r="K22" s="3">
        <v>1.0819197199999999</v>
      </c>
      <c r="L22" s="3">
        <v>3500</v>
      </c>
      <c r="M22" s="23">
        <v>3786.71902</v>
      </c>
      <c r="N22" s="22">
        <v>9900</v>
      </c>
      <c r="O22" s="3" t="s">
        <v>344</v>
      </c>
      <c r="P22" s="3" t="s">
        <v>295</v>
      </c>
      <c r="Q22" s="3" t="s">
        <v>515</v>
      </c>
      <c r="R22" s="3" t="s">
        <v>40</v>
      </c>
      <c r="S22" s="4" t="b">
        <v>0</v>
      </c>
      <c r="T22" s="3" t="s">
        <v>17</v>
      </c>
      <c r="U22" s="3">
        <f>VALUE(Table4[[#This Row],[usd_pledged]])</f>
        <v>3786.71902</v>
      </c>
      <c r="V22" s="12">
        <v>140</v>
      </c>
      <c r="W22" t="str">
        <f>CONCATENATE(L22, " ", Table4[[#This Row],[Currency_CAP]], " ", PROPER("pledged"))</f>
        <v>3500 EUR Pledged</v>
      </c>
      <c r="X22" t="str">
        <f>LEFT(Table4[[#This Row],[state]],LEN(Table4[[#This Row],[state]])-7)</f>
        <v>England</v>
      </c>
      <c r="Y22" t="str">
        <f>SUBSTITUTE(Table4[[#This Row],[Concat Names]],":","-")</f>
        <v xml:space="preserve"> 471706273  -Solofy Envy- A Solar Powered Backpack Without Compromise</v>
      </c>
      <c r="Z22" t="str">
        <f t="shared" si="0"/>
        <v>471706273 -Solofy Envy- A Solar Powered Backpack Without Compromise</v>
      </c>
      <c r="AA22">
        <f t="shared" si="1"/>
        <v>54</v>
      </c>
      <c r="AB22" t="str">
        <f>RIGHT(Table4[[#This Row],[source_url]],LEN(Table4[[#This Row],[source_url]])-AA22)</f>
        <v>logy/wearables</v>
      </c>
    </row>
    <row r="23" spans="1:28" x14ac:dyDescent="0.2">
      <c r="A23" s="7" t="s">
        <v>561</v>
      </c>
      <c r="B23" s="3" t="s">
        <v>76</v>
      </c>
      <c r="C23" s="3" t="str">
        <f>CONCATENATE(Table4[[#This Row],[id]], "-", Table4[[#This Row],[name]])</f>
        <v xml:space="preserve"> 636724187  -Ghost Shield Photochromic Technology (Canceled)</v>
      </c>
      <c r="D23" s="5">
        <v>42117</v>
      </c>
      <c r="E23" s="5">
        <v>42118</v>
      </c>
      <c r="F23" s="5">
        <v>42148</v>
      </c>
      <c r="G23" s="5" t="b">
        <f>EXACT(Table4[[#This Row],[created_at]],Table4[[#This Row],[launched_at]])</f>
        <v>0</v>
      </c>
      <c r="H23" s="3">
        <v>27</v>
      </c>
      <c r="I23" s="3" t="s">
        <v>15</v>
      </c>
      <c r="J23" s="3" t="str">
        <f>UPPER(Table4[[#This Row],[currency]])</f>
        <v>USD</v>
      </c>
      <c r="K23" s="3">
        <v>1</v>
      </c>
      <c r="L23" s="3">
        <v>1695</v>
      </c>
      <c r="M23" s="23">
        <v>1695</v>
      </c>
      <c r="N23" s="22">
        <v>300000</v>
      </c>
      <c r="O23" s="3" t="s">
        <v>342</v>
      </c>
      <c r="P23" s="3" t="s">
        <v>293</v>
      </c>
      <c r="Q23" s="3" t="s">
        <v>513</v>
      </c>
      <c r="R23" s="3" t="s">
        <v>40</v>
      </c>
      <c r="S23" s="4" t="b">
        <v>0</v>
      </c>
      <c r="T23" s="3" t="s">
        <v>24</v>
      </c>
      <c r="U23" s="3">
        <f>VALUE(Table4[[#This Row],[usd_pledged]])</f>
        <v>1695</v>
      </c>
      <c r="V23" s="12">
        <v>145.79452599999999</v>
      </c>
      <c r="W23" t="str">
        <f>CONCATENATE(L23, " ", Table4[[#This Row],[Currency_CAP]], " ", PROPER("pledged"))</f>
        <v>1695 USD Pledged</v>
      </c>
      <c r="X23" t="str">
        <f>LEFT(Table4[[#This Row],[state]],LEN(Table4[[#This Row],[state]])-7)</f>
        <v>TX</v>
      </c>
      <c r="Y23" t="str">
        <f>SUBSTITUTE(Table4[[#This Row],[Concat Names]],":","-")</f>
        <v xml:space="preserve"> 636724187  -Ghost Shield Photochromic Technology (Canceled)</v>
      </c>
      <c r="Z23" t="str">
        <f t="shared" si="0"/>
        <v>636724187 -Ghost Shield Photochromic Technology (Canceled)</v>
      </c>
      <c r="AA23">
        <f t="shared" si="1"/>
        <v>54</v>
      </c>
      <c r="AB23" t="str">
        <f>RIGHT(Table4[[#This Row],[source_url]],LEN(Table4[[#This Row],[source_url]])-AA23)</f>
        <v>logy/wearables</v>
      </c>
    </row>
    <row r="24" spans="1:28" x14ac:dyDescent="0.2">
      <c r="A24" s="7" t="s">
        <v>632</v>
      </c>
      <c r="B24" s="3" t="s">
        <v>266</v>
      </c>
      <c r="C24" s="3" t="str">
        <f>CONCATENATE(Table4[[#This Row],[id]], "-", Table4[[#This Row],[name]])</f>
        <v xml:space="preserve"> 1060254874  -Torero's - CROSS Grabado Tech+ Smart Wallet (Canceled)</v>
      </c>
      <c r="D24" s="5">
        <v>42117</v>
      </c>
      <c r="E24" s="5">
        <v>42179</v>
      </c>
      <c r="F24" s="5">
        <v>42239</v>
      </c>
      <c r="G24" s="5" t="b">
        <f>EXACT(Table4[[#This Row],[created_at]],Table4[[#This Row],[launched_at]])</f>
        <v>0</v>
      </c>
      <c r="H24" s="3">
        <v>57</v>
      </c>
      <c r="I24" s="3" t="s">
        <v>22</v>
      </c>
      <c r="J24" s="3" t="str">
        <f>UPPER(Table4[[#This Row],[currency]])</f>
        <v>CAD</v>
      </c>
      <c r="K24" s="3">
        <v>0.81131162999999995</v>
      </c>
      <c r="L24" s="3">
        <v>4065</v>
      </c>
      <c r="M24" s="23">
        <v>3297.9817800000001</v>
      </c>
      <c r="N24" s="22">
        <v>2500</v>
      </c>
      <c r="O24" s="3" t="s">
        <v>419</v>
      </c>
      <c r="P24" s="3" t="s">
        <v>301</v>
      </c>
      <c r="Q24" s="3" t="s">
        <v>517</v>
      </c>
      <c r="R24" s="3" t="s">
        <v>40</v>
      </c>
      <c r="S24" s="4" t="b">
        <v>0</v>
      </c>
      <c r="T24" s="3" t="s">
        <v>24</v>
      </c>
      <c r="U24" s="3">
        <f>VALUE(Table4[[#This Row],[usd_pledged]])</f>
        <v>3297.9817800000001</v>
      </c>
      <c r="V24" s="12">
        <v>171.384274</v>
      </c>
      <c r="W24" t="str">
        <f>CONCATENATE(L24, " ", Table4[[#This Row],[Currency_CAP]], " ", PROPER("pledged"))</f>
        <v>4065 CAD Pledged</v>
      </c>
      <c r="X24" t="str">
        <f>LEFT(Table4[[#This Row],[state]],LEN(Table4[[#This Row],[state]])-7)</f>
        <v>ON</v>
      </c>
      <c r="Y24" t="str">
        <f>SUBSTITUTE(Table4[[#This Row],[Concat Names]],":","-")</f>
        <v xml:space="preserve"> 1060254874  -Torero's - CROSS Grabado Tech+ Smart Wallet (Canceled)</v>
      </c>
      <c r="Z24" t="str">
        <f t="shared" si="0"/>
        <v>1060254874 -Torero's - CROSS Grabado Tech+ Smart Wallet (Canceled)</v>
      </c>
      <c r="AA24">
        <f t="shared" si="1"/>
        <v>54</v>
      </c>
      <c r="AB24" t="str">
        <f>RIGHT(Table4[[#This Row],[source_url]],LEN(Table4[[#This Row],[source_url]])-AA24)</f>
        <v>logy/wearables</v>
      </c>
    </row>
    <row r="25" spans="1:28" x14ac:dyDescent="0.2">
      <c r="A25" s="7" t="s">
        <v>630</v>
      </c>
      <c r="B25" s="3" t="s">
        <v>262</v>
      </c>
      <c r="C25" s="3" t="str">
        <f>CONCATENATE(Table4[[#This Row],[id]], "-", Table4[[#This Row],[name]])</f>
        <v xml:space="preserve"> 1247618735  -Global Outreach Program to Prevent Malaria</v>
      </c>
      <c r="D25" s="5">
        <v>42119</v>
      </c>
      <c r="E25" s="5">
        <v>42122</v>
      </c>
      <c r="F25" s="5">
        <v>42152</v>
      </c>
      <c r="G25" s="5" t="b">
        <f>EXACT(Table4[[#This Row],[created_at]],Table4[[#This Row],[launched_at]])</f>
        <v>0</v>
      </c>
      <c r="H25" s="3">
        <v>0</v>
      </c>
      <c r="I25" s="3" t="s">
        <v>15</v>
      </c>
      <c r="J25" s="3" t="str">
        <f>UPPER(Table4[[#This Row],[currency]])</f>
        <v>USD</v>
      </c>
      <c r="K25" s="3">
        <v>1</v>
      </c>
      <c r="L25" s="3">
        <v>0</v>
      </c>
      <c r="M25" s="23">
        <v>0</v>
      </c>
      <c r="N25" s="22">
        <v>20000</v>
      </c>
      <c r="O25" s="3" t="s">
        <v>506</v>
      </c>
      <c r="P25" s="3" t="s">
        <v>308</v>
      </c>
      <c r="Q25" s="3" t="s">
        <v>513</v>
      </c>
      <c r="R25" s="3" t="s">
        <v>40</v>
      </c>
      <c r="S25" s="4" t="b">
        <v>0</v>
      </c>
      <c r="T25" s="3" t="s">
        <v>17</v>
      </c>
      <c r="U25" s="3">
        <f>VALUE(Table4[[#This Row],[usd_pledged]])</f>
        <v>0</v>
      </c>
      <c r="V25" s="12">
        <v>219.05861100000001</v>
      </c>
      <c r="W25" t="str">
        <f>CONCATENATE(L25, " ", Table4[[#This Row],[Currency_CAP]], " ", PROPER("pledged"))</f>
        <v>0 USD Pledged</v>
      </c>
      <c r="X25" t="str">
        <f>LEFT(Table4[[#This Row],[state]],LEN(Table4[[#This Row],[state]])-7)</f>
        <v>AL</v>
      </c>
      <c r="Y25" t="str">
        <f>SUBSTITUTE(Table4[[#This Row],[Concat Names]],":","-")</f>
        <v xml:space="preserve"> 1247618735  -Global Outreach Program to Prevent Malaria</v>
      </c>
      <c r="Z25" t="str">
        <f t="shared" si="0"/>
        <v>1247618735 -Global Outreach Program to Prevent Malaria</v>
      </c>
      <c r="AA25">
        <f t="shared" si="1"/>
        <v>54</v>
      </c>
      <c r="AB25" t="str">
        <f>RIGHT(Table4[[#This Row],[source_url]],LEN(Table4[[#This Row],[source_url]])-AA25)</f>
        <v>logy/wearables</v>
      </c>
    </row>
    <row r="26" spans="1:28" x14ac:dyDescent="0.2">
      <c r="A26" s="7" t="s">
        <v>558</v>
      </c>
      <c r="B26" s="3" t="s">
        <v>72</v>
      </c>
      <c r="C26" s="3" t="str">
        <f>CONCATENATE(Table4[[#This Row],[id]], "-", Table4[[#This Row],[name]])</f>
        <v xml:space="preserve"> 1545080113  -PASSFORT - Your digital life, secure!</v>
      </c>
      <c r="D26" s="5">
        <v>42122</v>
      </c>
      <c r="E26" s="5">
        <v>42226</v>
      </c>
      <c r="F26" s="5">
        <v>42264</v>
      </c>
      <c r="G26" s="5" t="b">
        <f>EXACT(Table4[[#This Row],[created_at]],Table4[[#This Row],[launched_at]])</f>
        <v>0</v>
      </c>
      <c r="H26" s="3">
        <v>1458</v>
      </c>
      <c r="I26" s="3" t="s">
        <v>15</v>
      </c>
      <c r="J26" s="3" t="str">
        <f>UPPER(Table4[[#This Row],[currency]])</f>
        <v>USD</v>
      </c>
      <c r="K26" s="3">
        <v>1</v>
      </c>
      <c r="L26" s="3">
        <v>107511.9</v>
      </c>
      <c r="M26" s="23">
        <v>107511.9</v>
      </c>
      <c r="N26" s="22">
        <v>100000</v>
      </c>
      <c r="O26" s="3" t="s">
        <v>352</v>
      </c>
      <c r="P26" s="3" t="s">
        <v>299</v>
      </c>
      <c r="Q26" s="3" t="s">
        <v>513</v>
      </c>
      <c r="R26" s="3" t="s">
        <v>40</v>
      </c>
      <c r="S26" s="4" t="b">
        <v>0</v>
      </c>
      <c r="T26" s="3" t="s">
        <v>16</v>
      </c>
      <c r="U26" s="3">
        <f>VALUE(Table4[[#This Row],[usd_pledged]])</f>
        <v>107511.9</v>
      </c>
      <c r="V26" s="12">
        <v>222</v>
      </c>
      <c r="W26" t="str">
        <f>CONCATENATE(L26, " ", Table4[[#This Row],[Currency_CAP]], " ", PROPER("pledged"))</f>
        <v>107511.9 USD Pledged</v>
      </c>
      <c r="X26" t="str">
        <f>LEFT(Table4[[#This Row],[state]],LEN(Table4[[#This Row],[state]])-7)</f>
        <v>NY</v>
      </c>
      <c r="Y26" t="str">
        <f>SUBSTITUTE(Table4[[#This Row],[Concat Names]],":","-")</f>
        <v xml:space="preserve"> 1545080113  -PASSFORT - Your digital life, secure!</v>
      </c>
      <c r="Z26" t="str">
        <f t="shared" si="0"/>
        <v>1545080113 -PASSFORT - Your digital life, secure!</v>
      </c>
      <c r="AA26">
        <f t="shared" si="1"/>
        <v>54</v>
      </c>
      <c r="AB26" t="str">
        <f>RIGHT(Table4[[#This Row],[source_url]],LEN(Table4[[#This Row],[source_url]])-AA26)</f>
        <v>logy/wearables</v>
      </c>
    </row>
    <row r="27" spans="1:28" x14ac:dyDescent="0.2">
      <c r="A27" s="7" t="s">
        <v>547</v>
      </c>
      <c r="B27" s="3" t="s">
        <v>49</v>
      </c>
      <c r="C27" s="3" t="str">
        <f>CONCATENATE(Table4[[#This Row],[id]], "-", Table4[[#This Row],[name]])</f>
        <v xml:space="preserve"> 1479851539  -SelfiePICTEE</v>
      </c>
      <c r="D27" s="5">
        <v>42143</v>
      </c>
      <c r="E27" s="5">
        <v>42143</v>
      </c>
      <c r="F27" s="5">
        <v>42187</v>
      </c>
      <c r="G27" s="5" t="b">
        <f>EXACT(Table4[[#This Row],[created_at]],Table4[[#This Row],[launched_at]])</f>
        <v>1</v>
      </c>
      <c r="H27" s="3">
        <v>8</v>
      </c>
      <c r="I27" s="3" t="s">
        <v>15</v>
      </c>
      <c r="J27" s="3" t="str">
        <f>UPPER(Table4[[#This Row],[currency]])</f>
        <v>USD</v>
      </c>
      <c r="K27" s="3">
        <v>1</v>
      </c>
      <c r="L27" s="3">
        <v>456</v>
      </c>
      <c r="M27" s="23">
        <v>456</v>
      </c>
      <c r="N27" s="22">
        <v>500000</v>
      </c>
      <c r="O27" s="3" t="s">
        <v>338</v>
      </c>
      <c r="P27" s="3" t="s">
        <v>290</v>
      </c>
      <c r="Q27" s="3" t="s">
        <v>513</v>
      </c>
      <c r="R27" s="3" t="s">
        <v>40</v>
      </c>
      <c r="S27" s="4" t="b">
        <v>0</v>
      </c>
      <c r="T27" s="3" t="s">
        <v>17</v>
      </c>
      <c r="U27" s="3">
        <f>VALUE(Table4[[#This Row],[usd_pledged]])</f>
        <v>456</v>
      </c>
      <c r="V27" s="12">
        <v>289.97383000000002</v>
      </c>
      <c r="W27" t="str">
        <f>CONCATENATE(L27, " ", Table4[[#This Row],[Currency_CAP]], " ", PROPER("pledged"))</f>
        <v>456 USD Pledged</v>
      </c>
      <c r="X27" t="str">
        <f>LEFT(Table4[[#This Row],[state]],LEN(Table4[[#This Row],[state]])-7)</f>
        <v>CA</v>
      </c>
      <c r="Y27" t="str">
        <f>SUBSTITUTE(Table4[[#This Row],[Concat Names]],":","-")</f>
        <v xml:space="preserve"> 1479851539  -SelfiePICTEE</v>
      </c>
      <c r="Z27" t="str">
        <f t="shared" si="0"/>
        <v>1479851539 -SelfiePICTEE</v>
      </c>
      <c r="AA27">
        <f t="shared" si="1"/>
        <v>54</v>
      </c>
      <c r="AB27" t="str">
        <f>RIGHT(Table4[[#This Row],[source_url]],LEN(Table4[[#This Row],[source_url]])-AA27)</f>
        <v>logy/wearables</v>
      </c>
    </row>
    <row r="28" spans="1:28" x14ac:dyDescent="0.2">
      <c r="A28" s="7" t="s">
        <v>594</v>
      </c>
      <c r="B28" s="3" t="s">
        <v>174</v>
      </c>
      <c r="C28" s="3" t="str">
        <f>CONCATENATE(Table4[[#This Row],[id]], "-", Table4[[#This Row],[name]])</f>
        <v xml:space="preserve"> 180001754  -DunŒªmis BackPack</v>
      </c>
      <c r="D28" s="5">
        <v>42159</v>
      </c>
      <c r="E28" s="5">
        <v>42160</v>
      </c>
      <c r="F28" s="5">
        <v>42191</v>
      </c>
      <c r="G28" s="5" t="b">
        <f>EXACT(Table4[[#This Row],[created_at]],Table4[[#This Row],[launched_at]])</f>
        <v>0</v>
      </c>
      <c r="H28" s="3">
        <v>7</v>
      </c>
      <c r="I28" s="3" t="s">
        <v>15</v>
      </c>
      <c r="J28" s="3" t="str">
        <f>UPPER(Table4[[#This Row],[currency]])</f>
        <v>USD</v>
      </c>
      <c r="K28" s="3">
        <v>1</v>
      </c>
      <c r="L28" s="3">
        <v>418</v>
      </c>
      <c r="M28" s="23">
        <v>418</v>
      </c>
      <c r="N28" s="22">
        <v>20000</v>
      </c>
      <c r="O28" s="3" t="s">
        <v>478</v>
      </c>
      <c r="P28" s="3" t="s">
        <v>332</v>
      </c>
      <c r="Q28" s="3" t="s">
        <v>524</v>
      </c>
      <c r="R28" s="3" t="s">
        <v>40</v>
      </c>
      <c r="S28" s="4" t="b">
        <v>0</v>
      </c>
      <c r="T28" s="3" t="s">
        <v>17</v>
      </c>
      <c r="U28" s="3">
        <f>VALUE(Table4[[#This Row],[usd_pledged]])</f>
        <v>418</v>
      </c>
      <c r="V28" s="12">
        <v>418</v>
      </c>
      <c r="W28" t="str">
        <f>CONCATENATE(L28, " ", Table4[[#This Row],[Currency_CAP]], " ", PROPER("pledged"))</f>
        <v>418 USD Pledged</v>
      </c>
      <c r="X28" t="str">
        <f>LEFT(Table4[[#This Row],[state]],LEN(Table4[[#This Row],[state]])-7)</f>
        <v>Distrito Especial</v>
      </c>
      <c r="Y28" t="str">
        <f>SUBSTITUTE(Table4[[#This Row],[Concat Names]],":","-")</f>
        <v xml:space="preserve"> 180001754  -DunŒªmis BackPack</v>
      </c>
      <c r="Z28" t="str">
        <f t="shared" si="0"/>
        <v>180001754 -DunŒªmis BackPack</v>
      </c>
      <c r="AA28">
        <f t="shared" si="1"/>
        <v>54</v>
      </c>
      <c r="AB28" t="str">
        <f>RIGHT(Table4[[#This Row],[source_url]],LEN(Table4[[#This Row],[source_url]])-AA28)</f>
        <v>logy/wearables</v>
      </c>
    </row>
    <row r="29" spans="1:28" x14ac:dyDescent="0.2">
      <c r="A29" s="7" t="s">
        <v>637</v>
      </c>
      <c r="B29" s="3" t="s">
        <v>277</v>
      </c>
      <c r="C29" s="3" t="str">
        <f>CONCATENATE(Table4[[#This Row],[id]], "-", Table4[[#This Row],[name]])</f>
        <v xml:space="preserve"> 985845203  -IT'S WAY BEYOND ANY HOT OR COLD THERAPY PACK</v>
      </c>
      <c r="D29" s="5">
        <v>42169</v>
      </c>
      <c r="E29" s="5">
        <v>42286</v>
      </c>
      <c r="F29" s="5">
        <v>42316</v>
      </c>
      <c r="G29" s="5" t="b">
        <f>EXACT(Table4[[#This Row],[created_at]],Table4[[#This Row],[launched_at]])</f>
        <v>0</v>
      </c>
      <c r="H29" s="3">
        <v>17</v>
      </c>
      <c r="I29" s="3" t="s">
        <v>15</v>
      </c>
      <c r="J29" s="3" t="str">
        <f>UPPER(Table4[[#This Row],[currency]])</f>
        <v>USD</v>
      </c>
      <c r="K29" s="3">
        <v>1</v>
      </c>
      <c r="L29" s="3">
        <v>922</v>
      </c>
      <c r="M29" s="23">
        <v>922</v>
      </c>
      <c r="N29" s="22">
        <v>25000</v>
      </c>
      <c r="O29" s="3" t="s">
        <v>368</v>
      </c>
      <c r="P29" s="3" t="s">
        <v>304</v>
      </c>
      <c r="Q29" s="3" t="s">
        <v>513</v>
      </c>
      <c r="R29" s="3" t="s">
        <v>40</v>
      </c>
      <c r="S29" s="4" t="b">
        <v>0</v>
      </c>
      <c r="T29" s="3" t="s">
        <v>17</v>
      </c>
      <c r="U29" s="3">
        <f>VALUE(Table4[[#This Row],[usd_pledged]])</f>
        <v>922</v>
      </c>
      <c r="V29" s="12">
        <v>456</v>
      </c>
      <c r="W29" t="str">
        <f>CONCATENATE(L29, " ", Table4[[#This Row],[Currency_CAP]], " ", PROPER("pledged"))</f>
        <v>922 USD Pledged</v>
      </c>
      <c r="X29" t="str">
        <f>LEFT(Table4[[#This Row],[state]],LEN(Table4[[#This Row],[state]])-7)</f>
        <v>CO</v>
      </c>
      <c r="Y29" t="str">
        <f>SUBSTITUTE(Table4[[#This Row],[Concat Names]],":","-")</f>
        <v xml:space="preserve"> 985845203  -IT'S WAY BEYOND ANY HOT OR COLD THERAPY PACK</v>
      </c>
      <c r="Z29" t="str">
        <f t="shared" si="0"/>
        <v>985845203 -IT'S WAY BEYOND ANY HOT OR COLD THERAPY PACK</v>
      </c>
      <c r="AA29">
        <f t="shared" si="1"/>
        <v>54</v>
      </c>
      <c r="AB29" t="str">
        <f>RIGHT(Table4[[#This Row],[source_url]],LEN(Table4[[#This Row],[source_url]])-AA29)</f>
        <v>logy/wearables</v>
      </c>
    </row>
    <row r="30" spans="1:28" x14ac:dyDescent="0.2">
      <c r="A30" s="7" t="s">
        <v>605</v>
      </c>
      <c r="B30" s="3" t="s">
        <v>187</v>
      </c>
      <c r="C30" s="3" t="str">
        <f>CONCATENATE(Table4[[#This Row],[id]], "-", Table4[[#This Row],[name]])</f>
        <v xml:space="preserve"> 1543097050  -szimple, an intelligent all-in-one media center (Suspended)</v>
      </c>
      <c r="D30" s="5">
        <v>42170</v>
      </c>
      <c r="E30" s="5">
        <v>42332</v>
      </c>
      <c r="F30" s="5">
        <v>42377</v>
      </c>
      <c r="G30" s="5" t="b">
        <f>EXACT(Table4[[#This Row],[created_at]],Table4[[#This Row],[launched_at]])</f>
        <v>0</v>
      </c>
      <c r="H30" s="3">
        <v>11</v>
      </c>
      <c r="I30" s="3" t="s">
        <v>18</v>
      </c>
      <c r="J30" s="3" t="str">
        <f>UPPER(Table4[[#This Row],[currency]])</f>
        <v>EUR</v>
      </c>
      <c r="K30" s="3">
        <v>1.0612162599999999</v>
      </c>
      <c r="L30" s="3">
        <v>1050</v>
      </c>
      <c r="M30" s="23">
        <v>1114.2770700000001</v>
      </c>
      <c r="N30" s="22">
        <v>150000</v>
      </c>
      <c r="O30" s="3" t="s">
        <v>443</v>
      </c>
      <c r="P30" s="3" t="s">
        <v>328</v>
      </c>
      <c r="Q30" s="3" t="s">
        <v>489</v>
      </c>
      <c r="R30" s="3" t="s">
        <v>40</v>
      </c>
      <c r="S30" s="4" t="b">
        <v>0</v>
      </c>
      <c r="T30" s="3" t="s">
        <v>29</v>
      </c>
      <c r="U30" s="3">
        <f>VALUE(Table4[[#This Row],[usd_pledged]])</f>
        <v>1114.2770700000001</v>
      </c>
      <c r="V30" s="12">
        <v>567</v>
      </c>
      <c r="W30" t="str">
        <f>CONCATENATE(L30, " ", Table4[[#This Row],[Currency_CAP]], " ", PROPER("pledged"))</f>
        <v>1050 EUR Pledged</v>
      </c>
      <c r="X30" t="str">
        <f>LEFT(Table4[[#This Row],[state]],LEN(Table4[[#This Row],[state]])-7)</f>
        <v>Valencia</v>
      </c>
      <c r="Y30" t="str">
        <f>SUBSTITUTE(Table4[[#This Row],[Concat Names]],":","-")</f>
        <v xml:space="preserve"> 1543097050  -szimple, an intelligent all-in-one media center (Suspended)</v>
      </c>
      <c r="Z30" t="str">
        <f t="shared" si="0"/>
        <v>1543097050 -szimple, an intelligent all-in-one media center (Suspended)</v>
      </c>
      <c r="AA30">
        <f t="shared" si="1"/>
        <v>54</v>
      </c>
      <c r="AB30" t="str">
        <f>RIGHT(Table4[[#This Row],[source_url]],LEN(Table4[[#This Row],[source_url]])-AA30)</f>
        <v>logy/wearables</v>
      </c>
    </row>
    <row r="31" spans="1:28" x14ac:dyDescent="0.2">
      <c r="A31" s="7" t="s">
        <v>552</v>
      </c>
      <c r="B31" s="3" t="s">
        <v>59</v>
      </c>
      <c r="C31" s="3" t="str">
        <f>CONCATENATE(Table4[[#This Row],[id]], "-", Table4[[#This Row],[name]])</f>
        <v xml:space="preserve"> 1426576520  -Jewelbots: Friendship Bracelets That Teach Girls To Code</v>
      </c>
      <c r="D31" s="5">
        <v>42185</v>
      </c>
      <c r="E31" s="5">
        <v>42193</v>
      </c>
      <c r="F31" s="5">
        <v>42223</v>
      </c>
      <c r="G31" s="5" t="b">
        <f>EXACT(Table4[[#This Row],[created_at]],Table4[[#This Row],[launched_at]])</f>
        <v>0</v>
      </c>
      <c r="H31" s="3">
        <v>1820</v>
      </c>
      <c r="I31" s="3" t="s">
        <v>15</v>
      </c>
      <c r="J31" s="3" t="str">
        <f>UPPER(Table4[[#This Row],[currency]])</f>
        <v>USD</v>
      </c>
      <c r="K31" s="3">
        <v>1</v>
      </c>
      <c r="L31" s="3">
        <v>166945</v>
      </c>
      <c r="M31" s="23">
        <v>166945</v>
      </c>
      <c r="N31" s="22">
        <v>30000</v>
      </c>
      <c r="O31" s="3" t="s">
        <v>352</v>
      </c>
      <c r="P31" s="3" t="s">
        <v>299</v>
      </c>
      <c r="Q31" s="3" t="s">
        <v>513</v>
      </c>
      <c r="R31" s="3" t="s">
        <v>40</v>
      </c>
      <c r="S31" s="4" t="b">
        <v>1</v>
      </c>
      <c r="T31" s="3" t="s">
        <v>16</v>
      </c>
      <c r="U31" s="3">
        <f>VALUE(Table4[[#This Row],[usd_pledged]])</f>
        <v>166945</v>
      </c>
      <c r="V31" s="12">
        <v>590.06143199999997</v>
      </c>
      <c r="W31" t="str">
        <f>CONCATENATE(L31, " ", Table4[[#This Row],[Currency_CAP]], " ", PROPER("pledged"))</f>
        <v>166945 USD Pledged</v>
      </c>
      <c r="X31" t="str">
        <f>LEFT(Table4[[#This Row],[state]],LEN(Table4[[#This Row],[state]])-7)</f>
        <v>NY</v>
      </c>
      <c r="Y31" t="str">
        <f>SUBSTITUTE(Table4[[#This Row],[Concat Names]],":","-")</f>
        <v xml:space="preserve"> 1426576520  -Jewelbots- Friendship Bracelets That Teach Girls To Code</v>
      </c>
      <c r="Z31" t="str">
        <f t="shared" si="0"/>
        <v>1426576520 -Jewelbots- Friendship Bracelets That Teach Girls To Code</v>
      </c>
      <c r="AA31">
        <f t="shared" si="1"/>
        <v>54</v>
      </c>
      <c r="AB31" t="str">
        <f>RIGHT(Table4[[#This Row],[source_url]],LEN(Table4[[#This Row],[source_url]])-AA31)</f>
        <v>logy/wearables</v>
      </c>
    </row>
    <row r="32" spans="1:28" x14ac:dyDescent="0.2">
      <c r="A32" s="7" t="s">
        <v>633</v>
      </c>
      <c r="B32" s="3" t="s">
        <v>267</v>
      </c>
      <c r="C32" s="3" t="str">
        <f>CONCATENATE(Table4[[#This Row],[id]], "-", Table4[[#This Row],[name]])</f>
        <v xml:space="preserve"> 537175035  -OURA ring. Improve sleep. Perform better.</v>
      </c>
      <c r="D32" s="5">
        <v>42186</v>
      </c>
      <c r="E32" s="5">
        <v>42234</v>
      </c>
      <c r="F32" s="5">
        <v>42271</v>
      </c>
      <c r="G32" s="5" t="b">
        <f>EXACT(Table4[[#This Row],[created_at]],Table4[[#This Row],[launched_at]])</f>
        <v>0</v>
      </c>
      <c r="H32" s="3">
        <v>2383</v>
      </c>
      <c r="I32" s="3" t="s">
        <v>15</v>
      </c>
      <c r="J32" s="3" t="str">
        <f>UPPER(Table4[[#This Row],[currency]])</f>
        <v>USD</v>
      </c>
      <c r="K32" s="3">
        <v>1</v>
      </c>
      <c r="L32" s="3">
        <v>651803</v>
      </c>
      <c r="M32" s="23">
        <v>651803</v>
      </c>
      <c r="N32" s="22">
        <v>100000</v>
      </c>
      <c r="O32" s="3" t="s">
        <v>376</v>
      </c>
      <c r="P32" s="3" t="s">
        <v>290</v>
      </c>
      <c r="Q32" s="3" t="s">
        <v>513</v>
      </c>
      <c r="R32" s="3" t="s">
        <v>40</v>
      </c>
      <c r="S32" s="4" t="b">
        <v>1</v>
      </c>
      <c r="T32" s="3" t="s">
        <v>16</v>
      </c>
      <c r="U32" s="3">
        <f>VALUE(Table4[[#This Row],[usd_pledged]])</f>
        <v>651803</v>
      </c>
      <c r="V32" s="12">
        <v>615</v>
      </c>
      <c r="W32" t="str">
        <f>CONCATENATE(L32, " ", Table4[[#This Row],[Currency_CAP]], " ", PROPER("pledged"))</f>
        <v>651803 USD Pledged</v>
      </c>
      <c r="X32" t="str">
        <f>LEFT(Table4[[#This Row],[state]],LEN(Table4[[#This Row],[state]])-7)</f>
        <v>CA</v>
      </c>
      <c r="Y32" t="str">
        <f>SUBSTITUTE(Table4[[#This Row],[Concat Names]],":","-")</f>
        <v xml:space="preserve"> 537175035  -OURA ring. Improve sleep. Perform better.</v>
      </c>
      <c r="Z32" t="str">
        <f t="shared" si="0"/>
        <v>537175035 -OURA ring. Improve sleep. Perform better.</v>
      </c>
      <c r="AA32">
        <f t="shared" si="1"/>
        <v>54</v>
      </c>
      <c r="AB32" t="str">
        <f>RIGHT(Table4[[#This Row],[source_url]],LEN(Table4[[#This Row],[source_url]])-AA32)</f>
        <v>logy/wearables</v>
      </c>
    </row>
    <row r="33" spans="1:28" x14ac:dyDescent="0.2">
      <c r="A33" s="7" t="s">
        <v>640</v>
      </c>
      <c r="B33" s="3" t="s">
        <v>280</v>
      </c>
      <c r="C33" s="3" t="str">
        <f>CONCATENATE(Table4[[#This Row],[id]], "-", Table4[[#This Row],[name]])</f>
        <v xml:space="preserve"> 872998230  -Vivi di Cuore - Heart Rate Watch</v>
      </c>
      <c r="D33" s="5">
        <v>42187</v>
      </c>
      <c r="E33" s="5">
        <v>42189</v>
      </c>
      <c r="F33" s="5">
        <v>42219</v>
      </c>
      <c r="G33" s="5" t="b">
        <f>EXACT(Table4[[#This Row],[created_at]],Table4[[#This Row],[launched_at]])</f>
        <v>0</v>
      </c>
      <c r="H33" s="3">
        <v>0</v>
      </c>
      <c r="I33" s="3" t="s">
        <v>18</v>
      </c>
      <c r="J33" s="3" t="str">
        <f>UPPER(Table4[[#This Row],[currency]])</f>
        <v>EUR</v>
      </c>
      <c r="K33" s="3">
        <v>1.10917621</v>
      </c>
      <c r="L33" s="3">
        <v>0</v>
      </c>
      <c r="M33" s="23">
        <v>0</v>
      </c>
      <c r="N33" s="22">
        <v>500000</v>
      </c>
      <c r="O33" s="3" t="s">
        <v>510</v>
      </c>
      <c r="P33" s="3" t="s">
        <v>331</v>
      </c>
      <c r="Q33" s="3" t="s">
        <v>519</v>
      </c>
      <c r="R33" s="3" t="s">
        <v>40</v>
      </c>
      <c r="S33" s="4" t="b">
        <v>0</v>
      </c>
      <c r="T33" s="3" t="s">
        <v>17</v>
      </c>
      <c r="U33" s="3">
        <f>VALUE(Table4[[#This Row],[usd_pledged]])</f>
        <v>0</v>
      </c>
      <c r="V33" s="12">
        <v>655</v>
      </c>
      <c r="W33" t="str">
        <f>CONCATENATE(L33, " ", Table4[[#This Row],[Currency_CAP]], " ", PROPER("pledged"))</f>
        <v>0 EUR Pledged</v>
      </c>
      <c r="X33" t="str">
        <f>LEFT(Table4[[#This Row],[state]],LEN(Table4[[#This Row],[state]])-7)</f>
        <v>Sicily</v>
      </c>
      <c r="Y33" t="str">
        <f>SUBSTITUTE(Table4[[#This Row],[Concat Names]],":","-")</f>
        <v xml:space="preserve"> 872998230  -Vivi di Cuore - Heart Rate Watch</v>
      </c>
      <c r="Z33" t="str">
        <f t="shared" si="0"/>
        <v>872998230 -Vivi di Cuore - Heart Rate Watch</v>
      </c>
      <c r="AA33">
        <f t="shared" si="1"/>
        <v>54</v>
      </c>
      <c r="AB33" t="str">
        <f>RIGHT(Table4[[#This Row],[source_url]],LEN(Table4[[#This Row],[source_url]])-AA33)</f>
        <v>logy/wearables</v>
      </c>
    </row>
    <row r="34" spans="1:28" x14ac:dyDescent="0.2">
      <c r="A34" s="7" t="s">
        <v>620</v>
      </c>
      <c r="B34" s="3" t="s">
        <v>244</v>
      </c>
      <c r="C34" s="3" t="str">
        <f>CONCATENATE(Table4[[#This Row],[id]], "-", Table4[[#This Row],[name]])</f>
        <v xml:space="preserve"> 1772675078  -LIVV Headphones</v>
      </c>
      <c r="D34" s="5">
        <v>42195</v>
      </c>
      <c r="E34" s="5">
        <v>42248</v>
      </c>
      <c r="F34" s="5">
        <v>42278</v>
      </c>
      <c r="G34" s="5" t="b">
        <f>EXACT(Table4[[#This Row],[created_at]],Table4[[#This Row],[launched_at]])</f>
        <v>0</v>
      </c>
      <c r="H34" s="3">
        <v>624</v>
      </c>
      <c r="I34" s="3" t="s">
        <v>15</v>
      </c>
      <c r="J34" s="3" t="str">
        <f>UPPER(Table4[[#This Row],[currency]])</f>
        <v>USD</v>
      </c>
      <c r="K34" s="3">
        <v>1</v>
      </c>
      <c r="L34" s="3">
        <v>117583</v>
      </c>
      <c r="M34" s="23">
        <v>117583</v>
      </c>
      <c r="N34" s="22">
        <v>75000</v>
      </c>
      <c r="O34" s="3" t="s">
        <v>341</v>
      </c>
      <c r="P34" s="3" t="s">
        <v>293</v>
      </c>
      <c r="Q34" s="3" t="s">
        <v>513</v>
      </c>
      <c r="R34" s="3" t="s">
        <v>40</v>
      </c>
      <c r="S34" s="4" t="b">
        <v>1</v>
      </c>
      <c r="T34" s="3" t="s">
        <v>16</v>
      </c>
      <c r="U34" s="3">
        <f>VALUE(Table4[[#This Row],[usd_pledged]])</f>
        <v>117583</v>
      </c>
      <c r="V34" s="12">
        <v>726</v>
      </c>
      <c r="W34" t="str">
        <f>CONCATENATE(L34, " ", Table4[[#This Row],[Currency_CAP]], " ", PROPER("pledged"))</f>
        <v>117583 USD Pledged</v>
      </c>
      <c r="X34" t="str">
        <f>LEFT(Table4[[#This Row],[state]],LEN(Table4[[#This Row],[state]])-7)</f>
        <v>TX</v>
      </c>
      <c r="Y34" t="str">
        <f>SUBSTITUTE(Table4[[#This Row],[Concat Names]],":","-")</f>
        <v xml:space="preserve"> 1772675078  -LIVV Headphones</v>
      </c>
      <c r="Z34" t="str">
        <f t="shared" si="0"/>
        <v>1772675078 -LIVV Headphones</v>
      </c>
      <c r="AA34">
        <f t="shared" si="1"/>
        <v>54</v>
      </c>
      <c r="AB34" t="str">
        <f>RIGHT(Table4[[#This Row],[source_url]],LEN(Table4[[#This Row],[source_url]])-AA34)</f>
        <v>logy/wearables</v>
      </c>
    </row>
    <row r="35" spans="1:28" x14ac:dyDescent="0.2">
      <c r="A35" s="7" t="s">
        <v>601</v>
      </c>
      <c r="B35" s="3" t="s">
        <v>182</v>
      </c>
      <c r="C35" s="3" t="str">
        <f>CONCATENATE(Table4[[#This Row],[id]], "-", Table4[[#This Row],[name]])</f>
        <v xml:space="preserve"> 2134528960  -World`s first natural heat generating gloves and insoles</v>
      </c>
      <c r="D35" s="5">
        <v>42207</v>
      </c>
      <c r="E35" s="5">
        <v>42223</v>
      </c>
      <c r="F35" s="5">
        <v>42253</v>
      </c>
      <c r="G35" s="5" t="b">
        <f>EXACT(Table4[[#This Row],[created_at]],Table4[[#This Row],[launched_at]])</f>
        <v>0</v>
      </c>
      <c r="H35" s="3">
        <v>1889</v>
      </c>
      <c r="I35" s="3" t="s">
        <v>19</v>
      </c>
      <c r="J35" s="3" t="str">
        <f>UPPER(Table4[[#This Row],[currency]])</f>
        <v>GBP</v>
      </c>
      <c r="K35" s="3">
        <v>1.5613899499999999</v>
      </c>
      <c r="L35" s="3">
        <v>126072.5</v>
      </c>
      <c r="M35" s="23">
        <v>196848.33499999999</v>
      </c>
      <c r="N35" s="22">
        <v>10000</v>
      </c>
      <c r="O35" s="3" t="s">
        <v>358</v>
      </c>
      <c r="P35" s="3" t="s">
        <v>295</v>
      </c>
      <c r="Q35" s="3" t="s">
        <v>515</v>
      </c>
      <c r="R35" s="3" t="s">
        <v>40</v>
      </c>
      <c r="S35" s="4" t="b">
        <v>0</v>
      </c>
      <c r="T35" s="3" t="s">
        <v>16</v>
      </c>
      <c r="U35" s="3">
        <f>VALUE(Table4[[#This Row],[usd_pledged]])</f>
        <v>196848.33499999999</v>
      </c>
      <c r="V35" s="12">
        <v>735.52478299999996</v>
      </c>
      <c r="W35" t="str">
        <f>CONCATENATE(L35, " ", Table4[[#This Row],[Currency_CAP]], " ", PROPER("pledged"))</f>
        <v>126072.5 GBP Pledged</v>
      </c>
      <c r="X35" t="str">
        <f>LEFT(Table4[[#This Row],[state]],LEN(Table4[[#This Row],[state]])-7)</f>
        <v>England</v>
      </c>
      <c r="Y35" t="str">
        <f>SUBSTITUTE(Table4[[#This Row],[Concat Names]],":","-")</f>
        <v xml:space="preserve"> 2134528960  -World`s first natural heat generating gloves and insoles</v>
      </c>
      <c r="Z35" t="str">
        <f t="shared" si="0"/>
        <v>2134528960 -World`s first natural heat generating gloves and insoles</v>
      </c>
      <c r="AA35">
        <f t="shared" si="1"/>
        <v>54</v>
      </c>
      <c r="AB35" t="str">
        <f>RIGHT(Table4[[#This Row],[source_url]],LEN(Table4[[#This Row],[source_url]])-AA35)</f>
        <v>logy/wearables</v>
      </c>
    </row>
    <row r="36" spans="1:28" x14ac:dyDescent="0.2">
      <c r="A36" s="7" t="s">
        <v>595</v>
      </c>
      <c r="B36" s="3" t="s">
        <v>175</v>
      </c>
      <c r="C36" s="3" t="str">
        <f>CONCATENATE(Table4[[#This Row],[id]], "-", Table4[[#This Row],[name]])</f>
        <v xml:space="preserve"> 1402626429  -LIFT, A Exosuit</v>
      </c>
      <c r="D36" s="5">
        <v>42208</v>
      </c>
      <c r="E36" s="5">
        <v>42225</v>
      </c>
      <c r="F36" s="5">
        <v>42245</v>
      </c>
      <c r="G36" s="5" t="b">
        <f>EXACT(Table4[[#This Row],[created_at]],Table4[[#This Row],[launched_at]])</f>
        <v>0</v>
      </c>
      <c r="H36" s="3">
        <v>0</v>
      </c>
      <c r="I36" s="3" t="s">
        <v>15</v>
      </c>
      <c r="J36" s="3" t="str">
        <f>UPPER(Table4[[#This Row],[currency]])</f>
        <v>USD</v>
      </c>
      <c r="K36" s="3">
        <v>1</v>
      </c>
      <c r="L36" s="3">
        <v>0</v>
      </c>
      <c r="M36" s="23">
        <v>0</v>
      </c>
      <c r="N36" s="22">
        <v>2000</v>
      </c>
      <c r="O36" s="3" t="s">
        <v>493</v>
      </c>
      <c r="P36" s="3" t="s">
        <v>298</v>
      </c>
      <c r="Q36" s="3" t="s">
        <v>513</v>
      </c>
      <c r="R36" s="3" t="s">
        <v>40</v>
      </c>
      <c r="S36" s="4" t="b">
        <v>0</v>
      </c>
      <c r="T36" s="3" t="s">
        <v>17</v>
      </c>
      <c r="U36" s="3">
        <f>VALUE(Table4[[#This Row],[usd_pledged]])</f>
        <v>0</v>
      </c>
      <c r="V36" s="12">
        <v>751</v>
      </c>
      <c r="W36" t="str">
        <f>CONCATENATE(L36, " ", Table4[[#This Row],[Currency_CAP]], " ", PROPER("pledged"))</f>
        <v>0 USD Pledged</v>
      </c>
      <c r="X36" t="str">
        <f>LEFT(Table4[[#This Row],[state]],LEN(Table4[[#This Row],[state]])-7)</f>
        <v>MA</v>
      </c>
      <c r="Y36" t="str">
        <f>SUBSTITUTE(Table4[[#This Row],[Concat Names]],":","-")</f>
        <v xml:space="preserve"> 1402626429  -LIFT, A Exosuit</v>
      </c>
      <c r="Z36" t="str">
        <f t="shared" si="0"/>
        <v>1402626429 -LIFT, A Exosuit</v>
      </c>
      <c r="AA36">
        <f t="shared" si="1"/>
        <v>54</v>
      </c>
      <c r="AB36" t="str">
        <f>RIGHT(Table4[[#This Row],[source_url]],LEN(Table4[[#This Row],[source_url]])-AA36)</f>
        <v>logy/wearables</v>
      </c>
    </row>
    <row r="37" spans="1:28" x14ac:dyDescent="0.2">
      <c r="A37" s="7" t="s">
        <v>584</v>
      </c>
      <c r="B37" s="3" t="s">
        <v>119</v>
      </c>
      <c r="C37" s="3" t="str">
        <f>CONCATENATE(Table4[[#This Row],[id]], "-", Table4[[#This Row],[name]])</f>
        <v xml:space="preserve"> 1543028397  -CrossHelmet - the smart motorcycle helmet</v>
      </c>
      <c r="D37" s="5">
        <v>42209</v>
      </c>
      <c r="E37" s="5">
        <v>42990</v>
      </c>
      <c r="F37" s="5">
        <v>43020</v>
      </c>
      <c r="G37" s="5" t="b">
        <f>EXACT(Table4[[#This Row],[created_at]],Table4[[#This Row],[launched_at]])</f>
        <v>0</v>
      </c>
      <c r="H37" s="3">
        <v>346</v>
      </c>
      <c r="I37" s="3" t="s">
        <v>15</v>
      </c>
      <c r="J37" s="3" t="str">
        <f>UPPER(Table4[[#This Row],[currency]])</f>
        <v>USD</v>
      </c>
      <c r="K37" s="3">
        <v>1</v>
      </c>
      <c r="L37" s="3">
        <v>344336</v>
      </c>
      <c r="M37" s="23">
        <v>344336</v>
      </c>
      <c r="N37" s="22">
        <v>100000</v>
      </c>
      <c r="O37" s="3" t="s">
        <v>410</v>
      </c>
      <c r="P37" s="3" t="s">
        <v>324</v>
      </c>
      <c r="Q37" s="3" t="s">
        <v>523</v>
      </c>
      <c r="R37" s="3" t="s">
        <v>40</v>
      </c>
      <c r="S37" s="4" t="b">
        <v>1</v>
      </c>
      <c r="T37" s="3" t="s">
        <v>16</v>
      </c>
      <c r="U37" s="3">
        <f>VALUE(Table4[[#This Row],[usd_pledged]])</f>
        <v>344336</v>
      </c>
      <c r="V37" s="12">
        <v>771.01300300000003</v>
      </c>
      <c r="W37" t="str">
        <f>CONCATENATE(L37, " ", Table4[[#This Row],[Currency_CAP]], " ", PROPER("pledged"))</f>
        <v>344336 USD Pledged</v>
      </c>
      <c r="X37" t="str">
        <f>LEFT(Table4[[#This Row],[state]],LEN(Table4[[#This Row],[state]])-7)</f>
        <v>Tokyo Prefecture</v>
      </c>
      <c r="Y37" t="str">
        <f>SUBSTITUTE(Table4[[#This Row],[Concat Names]],":","-")</f>
        <v xml:space="preserve"> 1543028397  -CrossHelmet - the smart motorcycle helmet</v>
      </c>
      <c r="Z37" t="str">
        <f t="shared" si="0"/>
        <v>1543028397 -CrossHelmet - the smart motorcycle helmet</v>
      </c>
      <c r="AA37">
        <f t="shared" si="1"/>
        <v>54</v>
      </c>
      <c r="AB37" t="str">
        <f>RIGHT(Table4[[#This Row],[source_url]],LEN(Table4[[#This Row],[source_url]])-AA37)</f>
        <v>logy/wearables</v>
      </c>
    </row>
    <row r="38" spans="1:28" x14ac:dyDescent="0.2">
      <c r="A38" s="7" t="s">
        <v>642</v>
      </c>
      <c r="B38" s="3" t="s">
        <v>284</v>
      </c>
      <c r="C38" s="3" t="str">
        <f>CONCATENATE(Table4[[#This Row],[id]], "-", Table4[[#This Row],[name]])</f>
        <v xml:space="preserve"> 863208642  -Intrvl Band: The Wearable Personal Trainer (Canceled)</v>
      </c>
      <c r="D38" s="5">
        <v>42215</v>
      </c>
      <c r="E38" s="5">
        <v>42226</v>
      </c>
      <c r="F38" s="5">
        <v>42266</v>
      </c>
      <c r="G38" s="5" t="b">
        <f>EXACT(Table4[[#This Row],[created_at]],Table4[[#This Row],[launched_at]])</f>
        <v>0</v>
      </c>
      <c r="H38" s="3">
        <v>245</v>
      </c>
      <c r="I38" s="3" t="s">
        <v>15</v>
      </c>
      <c r="J38" s="3" t="str">
        <f>UPPER(Table4[[#This Row],[currency]])</f>
        <v>USD</v>
      </c>
      <c r="K38" s="3">
        <v>1</v>
      </c>
      <c r="L38" s="3">
        <v>12567</v>
      </c>
      <c r="M38" s="23">
        <v>12567</v>
      </c>
      <c r="N38" s="22">
        <v>21000</v>
      </c>
      <c r="O38" s="3" t="s">
        <v>401</v>
      </c>
      <c r="P38" s="3" t="s">
        <v>311</v>
      </c>
      <c r="Q38" s="3" t="s">
        <v>513</v>
      </c>
      <c r="R38" s="3" t="s">
        <v>40</v>
      </c>
      <c r="S38" s="4" t="b">
        <v>0</v>
      </c>
      <c r="T38" s="3" t="s">
        <v>24</v>
      </c>
      <c r="U38" s="3">
        <f>VALUE(Table4[[#This Row],[usd_pledged]])</f>
        <v>12567</v>
      </c>
      <c r="V38" s="12">
        <v>922</v>
      </c>
      <c r="W38" t="str">
        <f>CONCATENATE(L38, " ", Table4[[#This Row],[Currency_CAP]], " ", PROPER("pledged"))</f>
        <v>12567 USD Pledged</v>
      </c>
      <c r="X38" t="str">
        <f>LEFT(Table4[[#This Row],[state]],LEN(Table4[[#This Row],[state]])-7)</f>
        <v>UT</v>
      </c>
      <c r="Y38" t="str">
        <f>SUBSTITUTE(Table4[[#This Row],[Concat Names]],":","-")</f>
        <v xml:space="preserve"> 863208642  -Intrvl Band- The Wearable Personal Trainer (Canceled)</v>
      </c>
      <c r="Z38" t="str">
        <f t="shared" si="0"/>
        <v>863208642 -Intrvl Band- The Wearable Personal Trainer (Canceled)</v>
      </c>
      <c r="AA38">
        <f t="shared" si="1"/>
        <v>54</v>
      </c>
      <c r="AB38" t="str">
        <f>RIGHT(Table4[[#This Row],[source_url]],LEN(Table4[[#This Row],[source_url]])-AA38)</f>
        <v>logy/wearables</v>
      </c>
    </row>
    <row r="39" spans="1:28" x14ac:dyDescent="0.2">
      <c r="A39" s="7" t="s">
        <v>562</v>
      </c>
      <c r="B39" s="3" t="s">
        <v>77</v>
      </c>
      <c r="C39" s="3" t="str">
        <f>CONCATENATE(Table4[[#This Row],[id]], "-", Table4[[#This Row],[name]])</f>
        <v xml:space="preserve"> 1386711117  -The World's First Heated Down Jacket w/ 6X Mobile Charging</v>
      </c>
      <c r="D39" s="5">
        <v>42232</v>
      </c>
      <c r="E39" s="5">
        <v>42278</v>
      </c>
      <c r="F39" s="5">
        <v>42338</v>
      </c>
      <c r="G39" s="5" t="b">
        <f>EXACT(Table4[[#This Row],[created_at]],Table4[[#This Row],[launched_at]])</f>
        <v>0</v>
      </c>
      <c r="H39" s="3">
        <v>6480</v>
      </c>
      <c r="I39" s="3" t="s">
        <v>15</v>
      </c>
      <c r="J39" s="3" t="str">
        <f>UPPER(Table4[[#This Row],[currency]])</f>
        <v>USD</v>
      </c>
      <c r="K39" s="3">
        <v>1</v>
      </c>
      <c r="L39" s="3">
        <v>1330293.33</v>
      </c>
      <c r="M39" s="23">
        <v>1330293.33</v>
      </c>
      <c r="N39" s="22">
        <v>100000</v>
      </c>
      <c r="O39" s="3" t="s">
        <v>406</v>
      </c>
      <c r="P39" s="3" t="s">
        <v>311</v>
      </c>
      <c r="Q39" s="3" t="s">
        <v>513</v>
      </c>
      <c r="R39" s="3" t="s">
        <v>40</v>
      </c>
      <c r="S39" s="4" t="b">
        <v>0</v>
      </c>
      <c r="T39" s="3" t="s">
        <v>16</v>
      </c>
      <c r="U39" s="3">
        <f>VALUE(Table4[[#This Row],[usd_pledged]])</f>
        <v>1330293.33</v>
      </c>
      <c r="V39" s="12">
        <v>1114.2770700000001</v>
      </c>
      <c r="W39" t="str">
        <f>CONCATENATE(L39, " ", Table4[[#This Row],[Currency_CAP]], " ", PROPER("pledged"))</f>
        <v>1330293.33 USD Pledged</v>
      </c>
      <c r="X39" t="str">
        <f>LEFT(Table4[[#This Row],[state]],LEN(Table4[[#This Row],[state]])-7)</f>
        <v>UT</v>
      </c>
      <c r="Y39" t="str">
        <f>SUBSTITUTE(Table4[[#This Row],[Concat Names]],":","-")</f>
        <v xml:space="preserve"> 1386711117  -The World's First Heated Down Jacket w/ 6X Mobile Charging</v>
      </c>
      <c r="Z39" t="str">
        <f t="shared" si="0"/>
        <v>1386711117 -The World's First Heated Down Jacket w/ 6X Mobile Charging</v>
      </c>
      <c r="AA39">
        <f t="shared" si="1"/>
        <v>54</v>
      </c>
      <c r="AB39" t="str">
        <f>RIGHT(Table4[[#This Row],[source_url]],LEN(Table4[[#This Row],[source_url]])-AA39)</f>
        <v>logy/wearables</v>
      </c>
    </row>
    <row r="40" spans="1:28" x14ac:dyDescent="0.2">
      <c r="A40" s="7" t="s">
        <v>623</v>
      </c>
      <c r="B40" s="3" t="s">
        <v>251</v>
      </c>
      <c r="C40" s="3" t="str">
        <f>CONCATENATE(Table4[[#This Row],[id]], "-", Table4[[#This Row],[name]])</f>
        <v xml:space="preserve"> 352676893  -Headlight helmet</v>
      </c>
      <c r="D40" s="5">
        <v>42244</v>
      </c>
      <c r="E40" s="5">
        <v>42256</v>
      </c>
      <c r="F40" s="5">
        <v>42286</v>
      </c>
      <c r="G40" s="5" t="b">
        <f>EXACT(Table4[[#This Row],[created_at]],Table4[[#This Row],[launched_at]])</f>
        <v>0</v>
      </c>
      <c r="H40" s="3">
        <v>0</v>
      </c>
      <c r="I40" s="3" t="s">
        <v>22</v>
      </c>
      <c r="J40" s="3" t="str">
        <f>UPPER(Table4[[#This Row],[currency]])</f>
        <v>CAD</v>
      </c>
      <c r="K40" s="3">
        <v>0.75240582</v>
      </c>
      <c r="L40" s="3">
        <v>0</v>
      </c>
      <c r="M40" s="23">
        <v>0</v>
      </c>
      <c r="N40" s="22">
        <v>5250</v>
      </c>
      <c r="O40" s="3" t="s">
        <v>419</v>
      </c>
      <c r="P40" s="3" t="s">
        <v>301</v>
      </c>
      <c r="Q40" s="3" t="s">
        <v>517</v>
      </c>
      <c r="R40" s="3" t="s">
        <v>40</v>
      </c>
      <c r="S40" s="4" t="b">
        <v>0</v>
      </c>
      <c r="T40" s="3" t="s">
        <v>17</v>
      </c>
      <c r="U40" s="3">
        <f>VALUE(Table4[[#This Row],[usd_pledged]])</f>
        <v>0</v>
      </c>
      <c r="V40" s="12">
        <v>1130.46343</v>
      </c>
      <c r="W40" t="str">
        <f>CONCATENATE(L40, " ", Table4[[#This Row],[Currency_CAP]], " ", PROPER("pledged"))</f>
        <v>0 CAD Pledged</v>
      </c>
      <c r="X40" t="str">
        <f>LEFT(Table4[[#This Row],[state]],LEN(Table4[[#This Row],[state]])-7)</f>
        <v>ON</v>
      </c>
      <c r="Y40" t="str">
        <f>SUBSTITUTE(Table4[[#This Row],[Concat Names]],":","-")</f>
        <v xml:space="preserve"> 352676893  -Headlight helmet</v>
      </c>
      <c r="Z40" t="str">
        <f t="shared" si="0"/>
        <v>352676893 -Headlight helmet</v>
      </c>
      <c r="AA40">
        <f t="shared" si="1"/>
        <v>54</v>
      </c>
      <c r="AB40" t="str">
        <f>RIGHT(Table4[[#This Row],[source_url]],LEN(Table4[[#This Row],[source_url]])-AA40)</f>
        <v>logy/wearables</v>
      </c>
    </row>
    <row r="41" spans="1:28" x14ac:dyDescent="0.2">
      <c r="A41" s="7" t="s">
        <v>575</v>
      </c>
      <c r="B41" s="3" t="s">
        <v>96</v>
      </c>
      <c r="C41" s="3" t="str">
        <f>CONCATENATE(Table4[[#This Row],[id]], "-", Table4[[#This Row],[name]])</f>
        <v xml:space="preserve"> 1766765689  -Project EXOSUS - An exoskeleton for the future.</v>
      </c>
      <c r="D41" s="5">
        <v>42246</v>
      </c>
      <c r="E41" s="5">
        <v>42270</v>
      </c>
      <c r="F41" s="5">
        <v>42303</v>
      </c>
      <c r="G41" s="5" t="b">
        <f>EXACT(Table4[[#This Row],[created_at]],Table4[[#This Row],[launched_at]])</f>
        <v>0</v>
      </c>
      <c r="H41" s="3">
        <v>9</v>
      </c>
      <c r="I41" s="3" t="s">
        <v>22</v>
      </c>
      <c r="J41" s="3" t="str">
        <f>UPPER(Table4[[#This Row],[currency]])</f>
        <v>CAD</v>
      </c>
      <c r="K41" s="3">
        <v>0.75552039999999998</v>
      </c>
      <c r="L41" s="3">
        <v>781</v>
      </c>
      <c r="M41" s="23">
        <v>590.06143199999997</v>
      </c>
      <c r="N41" s="22">
        <v>780</v>
      </c>
      <c r="O41" s="3" t="s">
        <v>413</v>
      </c>
      <c r="P41" s="3" t="s">
        <v>301</v>
      </c>
      <c r="Q41" s="3" t="s">
        <v>517</v>
      </c>
      <c r="R41" s="3" t="s">
        <v>40</v>
      </c>
      <c r="S41" s="4" t="b">
        <v>0</v>
      </c>
      <c r="T41" s="3" t="s">
        <v>16</v>
      </c>
      <c r="U41" s="3">
        <f>VALUE(Table4[[#This Row],[usd_pledged]])</f>
        <v>590.06143199999997</v>
      </c>
      <c r="V41" s="12">
        <v>1378.6081999999999</v>
      </c>
      <c r="W41" t="str">
        <f>CONCATENATE(L41, " ", Table4[[#This Row],[Currency_CAP]], " ", PROPER("pledged"))</f>
        <v>781 CAD Pledged</v>
      </c>
      <c r="X41" t="str">
        <f>LEFT(Table4[[#This Row],[state]],LEN(Table4[[#This Row],[state]])-7)</f>
        <v>ON</v>
      </c>
      <c r="Y41" t="str">
        <f>SUBSTITUTE(Table4[[#This Row],[Concat Names]],":","-")</f>
        <v xml:space="preserve"> 1766765689  -Project EXOSUS - An exoskeleton for the future.</v>
      </c>
      <c r="Z41" t="str">
        <f t="shared" si="0"/>
        <v>1766765689 -Project EXOSUS - An exoskeleton for the future.</v>
      </c>
      <c r="AA41">
        <f t="shared" si="1"/>
        <v>54</v>
      </c>
      <c r="AB41" t="str">
        <f>RIGHT(Table4[[#This Row],[source_url]],LEN(Table4[[#This Row],[source_url]])-AA41)</f>
        <v>logy/wearables</v>
      </c>
    </row>
    <row r="42" spans="1:28" x14ac:dyDescent="0.2">
      <c r="A42" s="7" t="s">
        <v>608</v>
      </c>
      <c r="B42" s="3" t="s">
        <v>194</v>
      </c>
      <c r="C42" s="3" t="str">
        <f>CONCATENATE(Table4[[#This Row],[id]], "-", Table4[[#This Row],[name]])</f>
        <v xml:space="preserve"> 1436400002  -Triple Sensory Headset</v>
      </c>
      <c r="D42" s="5">
        <v>42252</v>
      </c>
      <c r="E42" s="5">
        <v>42255</v>
      </c>
      <c r="F42" s="5">
        <v>42285</v>
      </c>
      <c r="G42" s="5" t="b">
        <f>EXACT(Table4[[#This Row],[created_at]],Table4[[#This Row],[launched_at]])</f>
        <v>0</v>
      </c>
      <c r="H42" s="3">
        <v>1</v>
      </c>
      <c r="I42" s="3" t="s">
        <v>15</v>
      </c>
      <c r="J42" s="3" t="str">
        <f>UPPER(Table4[[#This Row],[currency]])</f>
        <v>USD</v>
      </c>
      <c r="K42" s="3">
        <v>1</v>
      </c>
      <c r="L42" s="3">
        <v>25</v>
      </c>
      <c r="M42" s="23">
        <v>25</v>
      </c>
      <c r="N42" s="22">
        <v>1000</v>
      </c>
      <c r="O42" s="3" t="s">
        <v>382</v>
      </c>
      <c r="P42" s="3" t="s">
        <v>293</v>
      </c>
      <c r="Q42" s="3" t="s">
        <v>513</v>
      </c>
      <c r="R42" s="3" t="s">
        <v>40</v>
      </c>
      <c r="S42" s="4" t="b">
        <v>0</v>
      </c>
      <c r="T42" s="3" t="s">
        <v>17</v>
      </c>
      <c r="U42" s="3">
        <f>VALUE(Table4[[#This Row],[usd_pledged]])</f>
        <v>25</v>
      </c>
      <c r="V42" s="12">
        <v>1389.39671</v>
      </c>
      <c r="W42" t="str">
        <f>CONCATENATE(L42, " ", Table4[[#This Row],[Currency_CAP]], " ", PROPER("pledged"))</f>
        <v>25 USD Pledged</v>
      </c>
      <c r="X42" t="str">
        <f>LEFT(Table4[[#This Row],[state]],LEN(Table4[[#This Row],[state]])-7)</f>
        <v>TX</v>
      </c>
      <c r="Y42" t="str">
        <f>SUBSTITUTE(Table4[[#This Row],[Concat Names]],":","-")</f>
        <v xml:space="preserve"> 1436400002  -Triple Sensory Headset</v>
      </c>
      <c r="Z42" t="str">
        <f t="shared" si="0"/>
        <v>1436400002 -Triple Sensory Headset</v>
      </c>
      <c r="AA42">
        <f t="shared" si="1"/>
        <v>54</v>
      </c>
      <c r="AB42" t="str">
        <f>RIGHT(Table4[[#This Row],[source_url]],LEN(Table4[[#This Row],[source_url]])-AA42)</f>
        <v>logy/wearables</v>
      </c>
    </row>
    <row r="43" spans="1:28" x14ac:dyDescent="0.2">
      <c r="A43" s="7" t="s">
        <v>616</v>
      </c>
      <c r="B43" s="3" t="s">
        <v>207</v>
      </c>
      <c r="C43" s="3" t="str">
        <f>CONCATENATE(Table4[[#This Row],[id]], "-", Table4[[#This Row],[name]])</f>
        <v xml:space="preserve"> 1626994670  -WristReaders:  The World's First + Only Wrappable Eyewear</v>
      </c>
      <c r="D43" s="5">
        <v>42276</v>
      </c>
      <c r="E43" s="5">
        <v>42292</v>
      </c>
      <c r="F43" s="5">
        <v>42322</v>
      </c>
      <c r="G43" s="5" t="b">
        <f>EXACT(Table4[[#This Row],[created_at]],Table4[[#This Row],[launched_at]])</f>
        <v>0</v>
      </c>
      <c r="H43" s="3">
        <v>132</v>
      </c>
      <c r="I43" s="3" t="s">
        <v>15</v>
      </c>
      <c r="J43" s="3" t="str">
        <f>UPPER(Table4[[#This Row],[currency]])</f>
        <v>USD</v>
      </c>
      <c r="K43" s="3">
        <v>1</v>
      </c>
      <c r="L43" s="3">
        <v>21465</v>
      </c>
      <c r="M43" s="23">
        <v>21465</v>
      </c>
      <c r="N43" s="22">
        <v>20000</v>
      </c>
      <c r="O43" s="3" t="s">
        <v>372</v>
      </c>
      <c r="P43" s="3" t="s">
        <v>289</v>
      </c>
      <c r="Q43" s="3" t="s">
        <v>513</v>
      </c>
      <c r="R43" s="3" t="s">
        <v>40</v>
      </c>
      <c r="S43" s="4" t="b">
        <v>0</v>
      </c>
      <c r="T43" s="3" t="s">
        <v>16</v>
      </c>
      <c r="U43" s="3">
        <f>VALUE(Table4[[#This Row],[usd_pledged]])</f>
        <v>21465</v>
      </c>
      <c r="V43" s="12">
        <v>1450</v>
      </c>
      <c r="W43" t="str">
        <f>CONCATENATE(L43, " ", Table4[[#This Row],[Currency_CAP]], " ", PROPER("pledged"))</f>
        <v>21465 USD Pledged</v>
      </c>
      <c r="X43" t="str">
        <f>LEFT(Table4[[#This Row],[state]],LEN(Table4[[#This Row],[state]])-7)</f>
        <v>WA</v>
      </c>
      <c r="Y43" t="str">
        <f>SUBSTITUTE(Table4[[#This Row],[Concat Names]],":","-")</f>
        <v xml:space="preserve"> 1626994670  -WristReaders-  The World's First + Only Wrappable Eyewear</v>
      </c>
      <c r="Z43" t="str">
        <f t="shared" si="0"/>
        <v>1626994670 -WristReaders- The World's First + Only Wrappable Eyewear</v>
      </c>
      <c r="AA43">
        <f t="shared" si="1"/>
        <v>54</v>
      </c>
      <c r="AB43" t="str">
        <f>RIGHT(Table4[[#This Row],[source_url]],LEN(Table4[[#This Row],[source_url]])-AA43)</f>
        <v>logy/wearables</v>
      </c>
    </row>
    <row r="44" spans="1:28" x14ac:dyDescent="0.2">
      <c r="A44" s="7" t="s">
        <v>550</v>
      </c>
      <c r="B44" s="3" t="s">
        <v>55</v>
      </c>
      <c r="C44" s="3" t="str">
        <f>CONCATENATE(Table4[[#This Row],[id]], "-", Table4[[#This Row],[name]])</f>
        <v xml:space="preserve"> 1707641874  -Better Beanie</v>
      </c>
      <c r="D44" s="5">
        <v>42279</v>
      </c>
      <c r="E44" s="5">
        <v>42422</v>
      </c>
      <c r="F44" s="5">
        <v>42482</v>
      </c>
      <c r="G44" s="5" t="b">
        <f>EXACT(Table4[[#This Row],[created_at]],Table4[[#This Row],[launched_at]])</f>
        <v>0</v>
      </c>
      <c r="H44" s="3">
        <v>81</v>
      </c>
      <c r="I44" s="3" t="s">
        <v>15</v>
      </c>
      <c r="J44" s="3" t="str">
        <f>UPPER(Table4[[#This Row],[currency]])</f>
        <v>USD</v>
      </c>
      <c r="K44" s="3">
        <v>1</v>
      </c>
      <c r="L44" s="3">
        <v>3562</v>
      </c>
      <c r="M44" s="23">
        <v>3562</v>
      </c>
      <c r="N44" s="22">
        <v>20000</v>
      </c>
      <c r="O44" s="3" t="s">
        <v>395</v>
      </c>
      <c r="P44" s="3" t="s">
        <v>290</v>
      </c>
      <c r="Q44" s="3" t="s">
        <v>513</v>
      </c>
      <c r="R44" s="3" t="s">
        <v>40</v>
      </c>
      <c r="S44" s="4" t="b">
        <v>0</v>
      </c>
      <c r="T44" s="3" t="s">
        <v>17</v>
      </c>
      <c r="U44" s="3">
        <f>VALUE(Table4[[#This Row],[usd_pledged]])</f>
        <v>3562</v>
      </c>
      <c r="V44" s="12">
        <v>1529</v>
      </c>
      <c r="W44" t="str">
        <f>CONCATENATE(L44, " ", Table4[[#This Row],[Currency_CAP]], " ", PROPER("pledged"))</f>
        <v>3562 USD Pledged</v>
      </c>
      <c r="X44" t="str">
        <f>LEFT(Table4[[#This Row],[state]],LEN(Table4[[#This Row],[state]])-7)</f>
        <v>CA</v>
      </c>
      <c r="Y44" t="str">
        <f>SUBSTITUTE(Table4[[#This Row],[Concat Names]],":","-")</f>
        <v xml:space="preserve"> 1707641874  -Better Beanie</v>
      </c>
      <c r="Z44" t="str">
        <f t="shared" si="0"/>
        <v>1707641874 -Better Beanie</v>
      </c>
      <c r="AA44">
        <f t="shared" si="1"/>
        <v>54</v>
      </c>
      <c r="AB44" t="str">
        <f>RIGHT(Table4[[#This Row],[source_url]],LEN(Table4[[#This Row],[source_url]])-AA44)</f>
        <v>logy/wearables</v>
      </c>
    </row>
    <row r="45" spans="1:28" x14ac:dyDescent="0.2">
      <c r="A45" s="7" t="s">
        <v>604</v>
      </c>
      <c r="B45" s="3" t="s">
        <v>186</v>
      </c>
      <c r="C45" s="3" t="str">
        <f>CONCATENATE(Table4[[#This Row],[id]], "-", Table4[[#This Row],[name]])</f>
        <v xml:space="preserve"> 223075211  -Remidi: First Wearable Instrument to Record, Play &amp; Perform</v>
      </c>
      <c r="D45" s="5">
        <v>42298</v>
      </c>
      <c r="E45" s="5">
        <v>42416</v>
      </c>
      <c r="F45" s="5">
        <v>42447</v>
      </c>
      <c r="G45" s="5" t="b">
        <f>EXACT(Table4[[#This Row],[created_at]],Table4[[#This Row],[launched_at]])</f>
        <v>0</v>
      </c>
      <c r="H45" s="3">
        <v>530</v>
      </c>
      <c r="I45" s="3" t="s">
        <v>15</v>
      </c>
      <c r="J45" s="3" t="str">
        <f>UPPER(Table4[[#This Row],[currency]])</f>
        <v>USD</v>
      </c>
      <c r="K45" s="3">
        <v>1</v>
      </c>
      <c r="L45" s="3">
        <v>137325.78</v>
      </c>
      <c r="M45" s="23">
        <v>137325.78</v>
      </c>
      <c r="N45" s="22">
        <v>50000</v>
      </c>
      <c r="O45" s="3" t="s">
        <v>354</v>
      </c>
      <c r="P45" s="3" t="s">
        <v>293</v>
      </c>
      <c r="Q45" s="3" t="s">
        <v>513</v>
      </c>
      <c r="R45" s="3" t="s">
        <v>40</v>
      </c>
      <c r="S45" s="4" t="b">
        <v>1</v>
      </c>
      <c r="T45" s="3" t="s">
        <v>16</v>
      </c>
      <c r="U45" s="3">
        <f>VALUE(Table4[[#This Row],[usd_pledged]])</f>
        <v>137325.78</v>
      </c>
      <c r="V45" s="12">
        <v>1695</v>
      </c>
      <c r="W45" t="str">
        <f>CONCATENATE(L45, " ", Table4[[#This Row],[Currency_CAP]], " ", PROPER("pledged"))</f>
        <v>137325.78 USD Pledged</v>
      </c>
      <c r="X45" t="str">
        <f>LEFT(Table4[[#This Row],[state]],LEN(Table4[[#This Row],[state]])-7)</f>
        <v>TX</v>
      </c>
      <c r="Y45" t="str">
        <f>SUBSTITUTE(Table4[[#This Row],[Concat Names]],":","-")</f>
        <v xml:space="preserve"> 223075211  -Remidi- First Wearable Instrument to Record, Play &amp; Perform</v>
      </c>
      <c r="Z45" t="str">
        <f t="shared" si="0"/>
        <v>223075211 -Remidi- First Wearable Instrument to Record, Play &amp; Perform</v>
      </c>
      <c r="AA45">
        <f t="shared" si="1"/>
        <v>54</v>
      </c>
      <c r="AB45" t="str">
        <f>RIGHT(Table4[[#This Row],[source_url]],LEN(Table4[[#This Row],[source_url]])-AA45)</f>
        <v>logy/wearables</v>
      </c>
    </row>
    <row r="46" spans="1:28" x14ac:dyDescent="0.2">
      <c r="A46" s="7" t="s">
        <v>551</v>
      </c>
      <c r="B46" s="3" t="s">
        <v>56</v>
      </c>
      <c r="C46" s="3" t="str">
        <f>CONCATENATE(Table4[[#This Row],[id]], "-", Table4[[#This Row],[name]])</f>
        <v xml:space="preserve"> 668060039  -Stereocap a new way to wear headphones</v>
      </c>
      <c r="D46" s="5">
        <v>42333</v>
      </c>
      <c r="E46" s="5">
        <v>42871</v>
      </c>
      <c r="F46" s="5">
        <v>42902</v>
      </c>
      <c r="G46" s="5" t="b">
        <f>EXACT(Table4[[#This Row],[created_at]],Table4[[#This Row],[launched_at]])</f>
        <v>0</v>
      </c>
      <c r="H46" s="3">
        <v>80</v>
      </c>
      <c r="I46" s="3" t="s">
        <v>18</v>
      </c>
      <c r="J46" s="3" t="str">
        <f>UPPER(Table4[[#This Row],[currency]])</f>
        <v>EUR</v>
      </c>
      <c r="K46" s="3">
        <v>1.09292484</v>
      </c>
      <c r="L46" s="3">
        <v>30516</v>
      </c>
      <c r="M46" s="23">
        <v>33351.6944</v>
      </c>
      <c r="N46" s="22">
        <v>30000</v>
      </c>
      <c r="O46" s="3" t="s">
        <v>346</v>
      </c>
      <c r="P46" s="3" t="s">
        <v>297</v>
      </c>
      <c r="Q46" s="3" t="s">
        <v>379</v>
      </c>
      <c r="R46" s="3" t="s">
        <v>40</v>
      </c>
      <c r="S46" s="4" t="b">
        <v>0</v>
      </c>
      <c r="T46" s="3" t="s">
        <v>16</v>
      </c>
      <c r="U46" s="3">
        <f>VALUE(Table4[[#This Row],[usd_pledged]])</f>
        <v>33351.6944</v>
      </c>
      <c r="V46" s="12">
        <v>1748</v>
      </c>
      <c r="W46" t="str">
        <f>CONCATENATE(L46, " ", Table4[[#This Row],[Currency_CAP]], " ", PROPER("pledged"))</f>
        <v>30516 EUR Pledged</v>
      </c>
      <c r="X46" t="str">
        <f>LEFT(Table4[[#This Row],[state]],LEN(Table4[[#This Row],[state]])-7)</f>
        <v>Ile-de-France</v>
      </c>
      <c r="Y46" t="str">
        <f>SUBSTITUTE(Table4[[#This Row],[Concat Names]],":","-")</f>
        <v xml:space="preserve"> 668060039  -Stereocap a new way to wear headphones</v>
      </c>
      <c r="Z46" t="str">
        <f t="shared" si="0"/>
        <v>668060039 -Stereocap a new way to wear headphones</v>
      </c>
      <c r="AA46">
        <f t="shared" si="1"/>
        <v>54</v>
      </c>
      <c r="AB46" t="str">
        <f>RIGHT(Table4[[#This Row],[source_url]],LEN(Table4[[#This Row],[source_url]])-AA46)</f>
        <v>logy/wearables</v>
      </c>
    </row>
    <row r="47" spans="1:28" x14ac:dyDescent="0.2">
      <c r="A47" s="7" t="s">
        <v>619</v>
      </c>
      <c r="B47" s="3" t="s">
        <v>213</v>
      </c>
      <c r="C47" s="3" t="str">
        <f>CONCATENATE(Table4[[#This Row],[id]], "-", Table4[[#This Row],[name]])</f>
        <v xml:space="preserve"> 463753115  -Fashionable SmartWatch &amp; Fitness, Android &amp; IOS</v>
      </c>
      <c r="D47" s="5">
        <v>42338</v>
      </c>
      <c r="E47" s="5">
        <v>42355</v>
      </c>
      <c r="F47" s="5">
        <v>42385</v>
      </c>
      <c r="G47" s="5" t="b">
        <f>EXACT(Table4[[#This Row],[created_at]],Table4[[#This Row],[launched_at]])</f>
        <v>0</v>
      </c>
      <c r="H47" s="3">
        <v>18</v>
      </c>
      <c r="I47" s="3" t="s">
        <v>15</v>
      </c>
      <c r="J47" s="3" t="str">
        <f>UPPER(Table4[[#This Row],[currency]])</f>
        <v>USD</v>
      </c>
      <c r="K47" s="3">
        <v>1</v>
      </c>
      <c r="L47" s="3">
        <v>1961</v>
      </c>
      <c r="M47" s="23">
        <v>1961</v>
      </c>
      <c r="N47" s="22">
        <v>50600</v>
      </c>
      <c r="O47" s="3" t="s">
        <v>337</v>
      </c>
      <c r="P47" s="3" t="s">
        <v>288</v>
      </c>
      <c r="Q47" s="3" t="s">
        <v>513</v>
      </c>
      <c r="R47" s="3" t="s">
        <v>40</v>
      </c>
      <c r="S47" s="4" t="b">
        <v>0</v>
      </c>
      <c r="T47" s="3" t="s">
        <v>17</v>
      </c>
      <c r="U47" s="3">
        <f>VALUE(Table4[[#This Row],[usd_pledged]])</f>
        <v>1961</v>
      </c>
      <c r="V47" s="12">
        <v>1961</v>
      </c>
      <c r="W47" t="str">
        <f>CONCATENATE(L47, " ", Table4[[#This Row],[Currency_CAP]], " ", PROPER("pledged"))</f>
        <v>1961 USD Pledged</v>
      </c>
      <c r="X47" t="str">
        <f>LEFT(Table4[[#This Row],[state]],LEN(Table4[[#This Row],[state]])-7)</f>
        <v>FL</v>
      </c>
      <c r="Y47" t="str">
        <f>SUBSTITUTE(Table4[[#This Row],[Concat Names]],":","-")</f>
        <v xml:space="preserve"> 463753115  -Fashionable SmartWatch &amp; Fitness, Android &amp; IOS</v>
      </c>
      <c r="Z47" t="str">
        <f t="shared" si="0"/>
        <v>463753115 -Fashionable SmartWatch &amp; Fitness, Android &amp; IOS</v>
      </c>
      <c r="AA47">
        <f t="shared" si="1"/>
        <v>54</v>
      </c>
      <c r="AB47" t="str">
        <f>RIGHT(Table4[[#This Row],[source_url]],LEN(Table4[[#This Row],[source_url]])-AA47)</f>
        <v>logy/wearables</v>
      </c>
    </row>
    <row r="48" spans="1:28" x14ac:dyDescent="0.2">
      <c r="A48" s="7" t="s">
        <v>639</v>
      </c>
      <c r="B48" s="3" t="s">
        <v>279</v>
      </c>
      <c r="C48" s="3" t="str">
        <f>CONCATENATE(Table4[[#This Row],[id]], "-", Table4[[#This Row],[name]])</f>
        <v xml:space="preserve"> 1797392182  -TheVDOCK V-GRIPS: Cell Phone BODY GRIPS - Phone Apparel WOW!</v>
      </c>
      <c r="D48" s="5">
        <v>42353</v>
      </c>
      <c r="E48" s="5">
        <v>42410</v>
      </c>
      <c r="F48" s="5">
        <v>42440</v>
      </c>
      <c r="G48" s="5" t="b">
        <f>EXACT(Table4[[#This Row],[created_at]],Table4[[#This Row],[launched_at]])</f>
        <v>0</v>
      </c>
      <c r="H48" s="3">
        <v>1</v>
      </c>
      <c r="I48" s="3" t="s">
        <v>15</v>
      </c>
      <c r="J48" s="3" t="str">
        <f>UPPER(Table4[[#This Row],[currency]])</f>
        <v>USD</v>
      </c>
      <c r="K48" s="3">
        <v>1</v>
      </c>
      <c r="L48" s="3">
        <v>95</v>
      </c>
      <c r="M48" s="23">
        <v>95</v>
      </c>
      <c r="N48" s="22">
        <v>84000</v>
      </c>
      <c r="O48" s="3" t="s">
        <v>388</v>
      </c>
      <c r="P48" s="3" t="s">
        <v>306</v>
      </c>
      <c r="Q48" s="3" t="s">
        <v>513</v>
      </c>
      <c r="R48" s="3" t="s">
        <v>40</v>
      </c>
      <c r="S48" s="4" t="b">
        <v>0</v>
      </c>
      <c r="T48" s="3" t="s">
        <v>24</v>
      </c>
      <c r="U48" s="3">
        <f>VALUE(Table4[[#This Row],[usd_pledged]])</f>
        <v>95</v>
      </c>
      <c r="V48" s="12">
        <v>2526.5015699999999</v>
      </c>
      <c r="W48" t="str">
        <f>CONCATENATE(L48, " ", Table4[[#This Row],[Currency_CAP]], " ", PROPER("pledged"))</f>
        <v>95 USD Pledged</v>
      </c>
      <c r="X48" t="str">
        <f>LEFT(Table4[[#This Row],[state]],LEN(Table4[[#This Row],[state]])-7)</f>
        <v>NC</v>
      </c>
      <c r="Y48" t="str">
        <f>SUBSTITUTE(Table4[[#This Row],[Concat Names]],":","-")</f>
        <v xml:space="preserve"> 1797392182  -TheVDOCK V-GRIPS- Cell Phone BODY GRIPS - Phone Apparel WOW!</v>
      </c>
      <c r="Z48" t="str">
        <f t="shared" si="0"/>
        <v>1797392182 -TheVDOCK V-GRIPS- Cell Phone BODY GRIPS - Phone Apparel WOW!</v>
      </c>
      <c r="AA48">
        <f t="shared" si="1"/>
        <v>54</v>
      </c>
      <c r="AB48" t="str">
        <f>RIGHT(Table4[[#This Row],[source_url]],LEN(Table4[[#This Row],[source_url]])-AA48)</f>
        <v>logy/wearables</v>
      </c>
    </row>
    <row r="49" spans="1:28" x14ac:dyDescent="0.2">
      <c r="A49" s="7" t="s">
        <v>602</v>
      </c>
      <c r="B49" s="3" t="s">
        <v>183</v>
      </c>
      <c r="C49" s="3" t="str">
        <f>CONCATENATE(Table4[[#This Row],[id]], "-", Table4[[#This Row],[name]])</f>
        <v xml:space="preserve"> 560453949  -NanoDri Sweat-blocking Shirts from Japan.</v>
      </c>
      <c r="D49" s="5">
        <v>42372</v>
      </c>
      <c r="E49" s="5">
        <v>42383</v>
      </c>
      <c r="F49" s="5">
        <v>42413</v>
      </c>
      <c r="G49" s="5" t="b">
        <f>EXACT(Table4[[#This Row],[created_at]],Table4[[#This Row],[launched_at]])</f>
        <v>0</v>
      </c>
      <c r="H49" s="3">
        <v>59</v>
      </c>
      <c r="I49" s="3" t="s">
        <v>15</v>
      </c>
      <c r="J49" s="3" t="str">
        <f>UPPER(Table4[[#This Row],[currency]])</f>
        <v>USD</v>
      </c>
      <c r="K49" s="3">
        <v>1</v>
      </c>
      <c r="L49" s="3">
        <v>5240</v>
      </c>
      <c r="M49" s="23">
        <v>5240</v>
      </c>
      <c r="N49" s="22">
        <v>1000</v>
      </c>
      <c r="O49" s="3" t="s">
        <v>410</v>
      </c>
      <c r="P49" s="3" t="s">
        <v>324</v>
      </c>
      <c r="Q49" s="3" t="s">
        <v>523</v>
      </c>
      <c r="R49" s="3" t="s">
        <v>40</v>
      </c>
      <c r="S49" s="4" t="b">
        <v>0</v>
      </c>
      <c r="T49" s="3" t="s">
        <v>16</v>
      </c>
      <c r="U49" s="3">
        <f>VALUE(Table4[[#This Row],[usd_pledged]])</f>
        <v>5240</v>
      </c>
      <c r="V49" s="12">
        <v>2603.0907099999999</v>
      </c>
      <c r="W49" t="str">
        <f>CONCATENATE(L49, " ", Table4[[#This Row],[Currency_CAP]], " ", PROPER("pledged"))</f>
        <v>5240 USD Pledged</v>
      </c>
      <c r="X49" t="str">
        <f>LEFT(Table4[[#This Row],[state]],LEN(Table4[[#This Row],[state]])-7)</f>
        <v>Tokyo Prefecture</v>
      </c>
      <c r="Y49" t="str">
        <f>SUBSTITUTE(Table4[[#This Row],[Concat Names]],":","-")</f>
        <v xml:space="preserve"> 560453949  -NanoDri Sweat-blocking Shirts from Japan.</v>
      </c>
      <c r="Z49" t="str">
        <f t="shared" si="0"/>
        <v>560453949 -NanoDri Sweat-blocking Shirts from Japan.</v>
      </c>
      <c r="AA49">
        <f t="shared" si="1"/>
        <v>54</v>
      </c>
      <c r="AB49" t="str">
        <f>RIGHT(Table4[[#This Row],[source_url]],LEN(Table4[[#This Row],[source_url]])-AA49)</f>
        <v>logy/wearables</v>
      </c>
    </row>
    <row r="50" spans="1:28" x14ac:dyDescent="0.2">
      <c r="A50" s="7" t="s">
        <v>597</v>
      </c>
      <c r="B50" s="3" t="s">
        <v>178</v>
      </c>
      <c r="C50" s="3" t="str">
        <f>CONCATENATE(Table4[[#This Row],[id]], "-", Table4[[#This Row],[name]])</f>
        <v xml:space="preserve"> 679726492  -VR Lens Lab - Prescription Lenses for Virtual Reality HMDs</v>
      </c>
      <c r="D50" s="5">
        <v>42380</v>
      </c>
      <c r="E50" s="5">
        <v>42388</v>
      </c>
      <c r="F50" s="5">
        <v>42403</v>
      </c>
      <c r="G50" s="5" t="b">
        <f>EXACT(Table4[[#This Row],[created_at]],Table4[[#This Row],[launched_at]])</f>
        <v>0</v>
      </c>
      <c r="H50" s="3">
        <v>114</v>
      </c>
      <c r="I50" s="3" t="s">
        <v>18</v>
      </c>
      <c r="J50" s="3" t="str">
        <f>UPPER(Table4[[#This Row],[currency]])</f>
        <v>EUR</v>
      </c>
      <c r="K50" s="3">
        <v>1.0894789</v>
      </c>
      <c r="L50" s="3">
        <v>2319</v>
      </c>
      <c r="M50" s="23">
        <v>2526.5015699999999</v>
      </c>
      <c r="N50" s="22">
        <v>5000</v>
      </c>
      <c r="O50" s="3" t="s">
        <v>412</v>
      </c>
      <c r="P50" s="3" t="s">
        <v>325</v>
      </c>
      <c r="Q50" s="3" t="s">
        <v>514</v>
      </c>
      <c r="R50" s="3" t="s">
        <v>40</v>
      </c>
      <c r="S50" s="4" t="b">
        <v>0</v>
      </c>
      <c r="T50" s="3" t="s">
        <v>17</v>
      </c>
      <c r="U50" s="3">
        <f>VALUE(Table4[[#This Row],[usd_pledged]])</f>
        <v>2526.5015699999999</v>
      </c>
      <c r="V50" s="12">
        <v>3297.9817800000001</v>
      </c>
      <c r="W50" t="str">
        <f>CONCATENATE(L50, " ", Table4[[#This Row],[Currency_CAP]], " ", PROPER("pledged"))</f>
        <v>2319 EUR Pledged</v>
      </c>
      <c r="X50" t="str">
        <f>LEFT(Table4[[#This Row],[state]],LEN(Table4[[#This Row],[state]])-7)</f>
        <v>Baden-Wurttemberg</v>
      </c>
      <c r="Y50" t="str">
        <f>SUBSTITUTE(Table4[[#This Row],[Concat Names]],":","-")</f>
        <v xml:space="preserve"> 679726492  -VR Lens Lab - Prescription Lenses for Virtual Reality HMDs</v>
      </c>
      <c r="Z50" t="str">
        <f t="shared" si="0"/>
        <v>679726492 -VR Lens Lab - Prescription Lenses for Virtual Reality HMDs</v>
      </c>
      <c r="AA50">
        <f t="shared" si="1"/>
        <v>54</v>
      </c>
      <c r="AB50" t="str">
        <f>RIGHT(Table4[[#This Row],[source_url]],LEN(Table4[[#This Row],[source_url]])-AA50)</f>
        <v>logy/wearables</v>
      </c>
    </row>
    <row r="51" spans="1:28" x14ac:dyDescent="0.2">
      <c r="A51" s="7" t="s">
        <v>600</v>
      </c>
      <c r="B51" s="3" t="s">
        <v>181</v>
      </c>
      <c r="C51" s="3" t="str">
        <f>CONCATENATE(Table4[[#This Row],[id]], "-", Table4[[#This Row],[name]])</f>
        <v xml:space="preserve"> 1283932397  -INTRVL BAND: 20 Minute Life-Changing Workouts</v>
      </c>
      <c r="D51" s="5">
        <v>42380</v>
      </c>
      <c r="E51" s="5">
        <v>42389</v>
      </c>
      <c r="F51" s="5">
        <v>42425</v>
      </c>
      <c r="G51" s="5" t="b">
        <f>EXACT(Table4[[#This Row],[created_at]],Table4[[#This Row],[launched_at]])</f>
        <v>0</v>
      </c>
      <c r="H51" s="3">
        <v>339</v>
      </c>
      <c r="I51" s="3" t="s">
        <v>15</v>
      </c>
      <c r="J51" s="3" t="str">
        <f>UPPER(Table4[[#This Row],[currency]])</f>
        <v>USD</v>
      </c>
      <c r="K51" s="3">
        <v>1</v>
      </c>
      <c r="L51" s="3">
        <v>17012</v>
      </c>
      <c r="M51" s="23">
        <v>17012</v>
      </c>
      <c r="N51" s="22">
        <v>12000</v>
      </c>
      <c r="O51" s="3" t="s">
        <v>401</v>
      </c>
      <c r="P51" s="3" t="s">
        <v>311</v>
      </c>
      <c r="Q51" s="3" t="s">
        <v>513</v>
      </c>
      <c r="R51" s="3" t="s">
        <v>40</v>
      </c>
      <c r="S51" s="4" t="b">
        <v>0</v>
      </c>
      <c r="T51" s="3" t="s">
        <v>16</v>
      </c>
      <c r="U51" s="3">
        <f>VALUE(Table4[[#This Row],[usd_pledged]])</f>
        <v>17012</v>
      </c>
      <c r="V51" s="12">
        <v>3562</v>
      </c>
      <c r="W51" t="str">
        <f>CONCATENATE(L51, " ", Table4[[#This Row],[Currency_CAP]], " ", PROPER("pledged"))</f>
        <v>17012 USD Pledged</v>
      </c>
      <c r="X51" t="str">
        <f>LEFT(Table4[[#This Row],[state]],LEN(Table4[[#This Row],[state]])-7)</f>
        <v>UT</v>
      </c>
      <c r="Y51" t="str">
        <f>SUBSTITUTE(Table4[[#This Row],[Concat Names]],":","-")</f>
        <v xml:space="preserve"> 1283932397  -INTRVL BAND- 20 Minute Life-Changing Workouts</v>
      </c>
      <c r="Z51" t="str">
        <f t="shared" si="0"/>
        <v>1283932397 -INTRVL BAND- 20 Minute Life-Changing Workouts</v>
      </c>
      <c r="AA51">
        <f t="shared" si="1"/>
        <v>54</v>
      </c>
      <c r="AB51" t="str">
        <f>RIGHT(Table4[[#This Row],[source_url]],LEN(Table4[[#This Row],[source_url]])-AA51)</f>
        <v>logy/wearables</v>
      </c>
    </row>
    <row r="52" spans="1:28" x14ac:dyDescent="0.2">
      <c r="A52" s="7" t="s">
        <v>573</v>
      </c>
      <c r="B52" s="3" t="s">
        <v>94</v>
      </c>
      <c r="C52" s="3" t="str">
        <f>CONCATENATE(Table4[[#This Row],[id]], "-", Table4[[#This Row],[name]])</f>
        <v xml:space="preserve"> 1906655112  -LifeFX: The premier Wearable Wellness Coach/Fitness Tracker.</v>
      </c>
      <c r="D52" s="5">
        <v>42419</v>
      </c>
      <c r="E52" s="5">
        <v>42690</v>
      </c>
      <c r="F52" s="5">
        <v>42735</v>
      </c>
      <c r="G52" s="5" t="b">
        <f>EXACT(Table4[[#This Row],[created_at]],Table4[[#This Row],[launched_at]])</f>
        <v>0</v>
      </c>
      <c r="H52" s="3">
        <v>62</v>
      </c>
      <c r="I52" s="3" t="s">
        <v>15</v>
      </c>
      <c r="J52" s="3" t="str">
        <f>UPPER(Table4[[#This Row],[currency]])</f>
        <v>USD</v>
      </c>
      <c r="K52" s="3">
        <v>1</v>
      </c>
      <c r="L52" s="3">
        <v>4828</v>
      </c>
      <c r="M52" s="23">
        <v>4828</v>
      </c>
      <c r="N52" s="22">
        <v>65000</v>
      </c>
      <c r="O52" s="3" t="s">
        <v>338</v>
      </c>
      <c r="P52" s="3" t="s">
        <v>290</v>
      </c>
      <c r="Q52" s="3" t="s">
        <v>513</v>
      </c>
      <c r="R52" s="3" t="s">
        <v>40</v>
      </c>
      <c r="S52" s="4" t="b">
        <v>0</v>
      </c>
      <c r="T52" s="3" t="s">
        <v>17</v>
      </c>
      <c r="U52" s="3">
        <f>VALUE(Table4[[#This Row],[usd_pledged]])</f>
        <v>4828</v>
      </c>
      <c r="V52" s="12">
        <v>3786.71902</v>
      </c>
      <c r="W52" t="str">
        <f>CONCATENATE(L52, " ", Table4[[#This Row],[Currency_CAP]], " ", PROPER("pledged"))</f>
        <v>4828 USD Pledged</v>
      </c>
      <c r="X52" t="str">
        <f>LEFT(Table4[[#This Row],[state]],LEN(Table4[[#This Row],[state]])-7)</f>
        <v>CA</v>
      </c>
      <c r="Y52" t="str">
        <f>SUBSTITUTE(Table4[[#This Row],[Concat Names]],":","-")</f>
        <v xml:space="preserve"> 1906655112  -LifeFX- The premier Wearable Wellness Coach/Fitness Tracker.</v>
      </c>
      <c r="Z52" t="str">
        <f t="shared" si="0"/>
        <v>1906655112 -LifeFX- The premier Wearable Wellness Coach/Fitness Tracker.</v>
      </c>
      <c r="AA52">
        <f t="shared" si="1"/>
        <v>54</v>
      </c>
      <c r="AB52" t="str">
        <f>RIGHT(Table4[[#This Row],[source_url]],LEN(Table4[[#This Row],[source_url]])-AA52)</f>
        <v>logy/wearables</v>
      </c>
    </row>
    <row r="53" spans="1:28" x14ac:dyDescent="0.2">
      <c r="A53" s="7" t="s">
        <v>568</v>
      </c>
      <c r="B53" s="3" t="s">
        <v>87</v>
      </c>
      <c r="C53" s="3" t="str">
        <f>CONCATENATE(Table4[[#This Row],[id]], "-", Table4[[#This Row],[name]])</f>
        <v xml:space="preserve"> 1191706416  -ROZEBUDS‚Ñ¢ - Wireless Earphones with a Fashion Twist</v>
      </c>
      <c r="D53" s="5">
        <v>42425</v>
      </c>
      <c r="E53" s="5">
        <v>42871</v>
      </c>
      <c r="F53" s="5">
        <v>42909</v>
      </c>
      <c r="G53" s="5" t="b">
        <f>EXACT(Table4[[#This Row],[created_at]],Table4[[#This Row],[launched_at]])</f>
        <v>0</v>
      </c>
      <c r="H53" s="3">
        <v>555</v>
      </c>
      <c r="I53" s="3" t="s">
        <v>15</v>
      </c>
      <c r="J53" s="3" t="str">
        <f>UPPER(Table4[[#This Row],[currency]])</f>
        <v>USD</v>
      </c>
      <c r="K53" s="3">
        <v>1</v>
      </c>
      <c r="L53" s="3">
        <v>85889</v>
      </c>
      <c r="M53" s="23">
        <v>85889</v>
      </c>
      <c r="N53" s="22">
        <v>30000</v>
      </c>
      <c r="O53" s="3" t="s">
        <v>352</v>
      </c>
      <c r="P53" s="3" t="s">
        <v>299</v>
      </c>
      <c r="Q53" s="3" t="s">
        <v>513</v>
      </c>
      <c r="R53" s="3" t="s">
        <v>40</v>
      </c>
      <c r="S53" s="4" t="b">
        <v>0</v>
      </c>
      <c r="T53" s="3" t="s">
        <v>16</v>
      </c>
      <c r="U53" s="3">
        <f>VALUE(Table4[[#This Row],[usd_pledged]])</f>
        <v>85889</v>
      </c>
      <c r="V53" s="12">
        <v>3863</v>
      </c>
      <c r="W53" t="str">
        <f>CONCATENATE(L53, " ", Table4[[#This Row],[Currency_CAP]], " ", PROPER("pledged"))</f>
        <v>85889 USD Pledged</v>
      </c>
      <c r="X53" t="str">
        <f>LEFT(Table4[[#This Row],[state]],LEN(Table4[[#This Row],[state]])-7)</f>
        <v>NY</v>
      </c>
      <c r="Y53" t="str">
        <f>SUBSTITUTE(Table4[[#This Row],[Concat Names]],":","-")</f>
        <v xml:space="preserve"> 1191706416  -ROZEBUDS‚Ñ¢ - Wireless Earphones with a Fashion Twist</v>
      </c>
      <c r="Z53" t="str">
        <f t="shared" si="0"/>
        <v>1191706416 -ROZEBUDS‚Ñ¢ - Wireless Earphones with a Fashion Twist</v>
      </c>
      <c r="AA53">
        <f t="shared" si="1"/>
        <v>54</v>
      </c>
      <c r="AB53" t="str">
        <f>RIGHT(Table4[[#This Row],[source_url]],LEN(Table4[[#This Row],[source_url]])-AA53)</f>
        <v>logy/wearables</v>
      </c>
    </row>
    <row r="54" spans="1:28" x14ac:dyDescent="0.2">
      <c r="A54" s="7" t="s">
        <v>627</v>
      </c>
      <c r="B54" s="3" t="s">
        <v>257</v>
      </c>
      <c r="C54" s="3" t="str">
        <f>CONCATENATE(Table4[[#This Row],[id]], "-", Table4[[#This Row],[name]])</f>
        <v xml:space="preserve"> 898182194  -Automated CANE for the blind</v>
      </c>
      <c r="D54" s="5">
        <v>42431</v>
      </c>
      <c r="E54" s="5">
        <v>42437</v>
      </c>
      <c r="F54" s="5">
        <v>42467</v>
      </c>
      <c r="G54" s="5" t="b">
        <f>EXACT(Table4[[#This Row],[created_at]],Table4[[#This Row],[launched_at]])</f>
        <v>0</v>
      </c>
      <c r="H54" s="3">
        <v>5</v>
      </c>
      <c r="I54" s="3" t="s">
        <v>18</v>
      </c>
      <c r="J54" s="3" t="str">
        <f>UPPER(Table4[[#This Row],[currency]])</f>
        <v>EUR</v>
      </c>
      <c r="K54" s="3">
        <v>1.0989796000000001</v>
      </c>
      <c r="L54" s="3">
        <v>5</v>
      </c>
      <c r="M54" s="23">
        <v>5.4948980000000001</v>
      </c>
      <c r="N54" s="22">
        <v>5000</v>
      </c>
      <c r="O54" s="3" t="s">
        <v>407</v>
      </c>
      <c r="P54" s="3" t="s">
        <v>322</v>
      </c>
      <c r="Q54" s="3" t="s">
        <v>489</v>
      </c>
      <c r="R54" s="3" t="s">
        <v>40</v>
      </c>
      <c r="S54" s="4" t="b">
        <v>0</v>
      </c>
      <c r="T54" s="3" t="s">
        <v>17</v>
      </c>
      <c r="U54" s="3">
        <f>VALUE(Table4[[#This Row],[usd_pledged]])</f>
        <v>5.4948980000000001</v>
      </c>
      <c r="V54" s="12">
        <v>4749</v>
      </c>
      <c r="W54" t="str">
        <f>CONCATENATE(L54, " ", Table4[[#This Row],[Currency_CAP]], " ", PROPER("pledged"))</f>
        <v>5 EUR Pledged</v>
      </c>
      <c r="X54" t="str">
        <f>LEFT(Table4[[#This Row],[state]],LEN(Table4[[#This Row],[state]])-7)</f>
        <v>Madrid</v>
      </c>
      <c r="Y54" t="str">
        <f>SUBSTITUTE(Table4[[#This Row],[Concat Names]],":","-")</f>
        <v xml:space="preserve"> 898182194  -Automated CANE for the blind</v>
      </c>
      <c r="Z54" t="str">
        <f t="shared" si="0"/>
        <v>898182194 -Automated CANE for the blind</v>
      </c>
      <c r="AA54">
        <f t="shared" si="1"/>
        <v>54</v>
      </c>
      <c r="AB54" t="str">
        <f>RIGHT(Table4[[#This Row],[source_url]],LEN(Table4[[#This Row],[source_url]])-AA54)</f>
        <v>logy/wearables</v>
      </c>
    </row>
    <row r="55" spans="1:28" x14ac:dyDescent="0.2">
      <c r="A55" s="7" t="s">
        <v>559</v>
      </c>
      <c r="B55" s="3" t="s">
        <v>73</v>
      </c>
      <c r="C55" s="3" t="str">
        <f>CONCATENATE(Table4[[#This Row],[id]], "-", Table4[[#This Row],[name]])</f>
        <v xml:space="preserve"> 791911668  -Seaver - The first connected equipment for horses</v>
      </c>
      <c r="D55" s="5">
        <v>42485</v>
      </c>
      <c r="E55" s="5">
        <v>42534</v>
      </c>
      <c r="F55" s="5">
        <v>42576</v>
      </c>
      <c r="G55" s="5" t="b">
        <f>EXACT(Table4[[#This Row],[created_at]],Table4[[#This Row],[launched_at]])</f>
        <v>0</v>
      </c>
      <c r="H55" s="3">
        <v>347</v>
      </c>
      <c r="I55" s="3" t="s">
        <v>18</v>
      </c>
      <c r="J55" s="3" t="str">
        <f>UPPER(Table4[[#This Row],[currency]])</f>
        <v>EUR</v>
      </c>
      <c r="K55" s="3">
        <v>1.12523025</v>
      </c>
      <c r="L55" s="3">
        <v>76532</v>
      </c>
      <c r="M55" s="23">
        <v>86116.121499999994</v>
      </c>
      <c r="N55" s="22">
        <v>50000</v>
      </c>
      <c r="O55" s="3" t="s">
        <v>346</v>
      </c>
      <c r="P55" s="3" t="s">
        <v>297</v>
      </c>
      <c r="Q55" s="3" t="s">
        <v>379</v>
      </c>
      <c r="R55" s="3" t="s">
        <v>40</v>
      </c>
      <c r="S55" s="4" t="b">
        <v>0</v>
      </c>
      <c r="T55" s="3" t="s">
        <v>16</v>
      </c>
      <c r="U55" s="3">
        <f>VALUE(Table4[[#This Row],[usd_pledged]])</f>
        <v>86116.121499999994</v>
      </c>
      <c r="V55" s="12">
        <v>4828</v>
      </c>
      <c r="W55" t="str">
        <f>CONCATENATE(L55, " ", Table4[[#This Row],[Currency_CAP]], " ", PROPER("pledged"))</f>
        <v>76532 EUR Pledged</v>
      </c>
      <c r="X55" t="str">
        <f>LEFT(Table4[[#This Row],[state]],LEN(Table4[[#This Row],[state]])-7)</f>
        <v>Ile-de-France</v>
      </c>
      <c r="Y55" t="str">
        <f>SUBSTITUTE(Table4[[#This Row],[Concat Names]],":","-")</f>
        <v xml:space="preserve"> 791911668  -Seaver - The first connected equipment for horses</v>
      </c>
      <c r="Z55" t="str">
        <f t="shared" si="0"/>
        <v>791911668 -Seaver - The first connected equipment for horses</v>
      </c>
      <c r="AA55">
        <f t="shared" si="1"/>
        <v>54</v>
      </c>
      <c r="AB55" t="str">
        <f>RIGHT(Table4[[#This Row],[source_url]],LEN(Table4[[#This Row],[source_url]])-AA55)</f>
        <v>logy/wearables</v>
      </c>
    </row>
    <row r="56" spans="1:28" x14ac:dyDescent="0.2">
      <c r="A56" s="7" t="s">
        <v>591</v>
      </c>
      <c r="B56" s="3" t="s">
        <v>170</v>
      </c>
      <c r="C56" s="3" t="str">
        <f>CONCATENATE(Table4[[#This Row],[id]], "-", Table4[[#This Row],[name]])</f>
        <v xml:space="preserve"> 1981294931  -C'est pour toi</v>
      </c>
      <c r="D56" s="5">
        <v>42492</v>
      </c>
      <c r="E56" s="5">
        <v>42522</v>
      </c>
      <c r="F56" s="5">
        <v>42551</v>
      </c>
      <c r="G56" s="5" t="b">
        <f>EXACT(Table4[[#This Row],[created_at]],Table4[[#This Row],[launched_at]])</f>
        <v>0</v>
      </c>
      <c r="H56" s="3">
        <v>81</v>
      </c>
      <c r="I56" s="3" t="s">
        <v>18</v>
      </c>
      <c r="J56" s="3" t="str">
        <f>UPPER(Table4[[#This Row],[currency]])</f>
        <v>EUR</v>
      </c>
      <c r="K56" s="3">
        <v>1.1147638200000001</v>
      </c>
      <c r="L56" s="3">
        <v>5041</v>
      </c>
      <c r="M56" s="23">
        <v>5619.5244199999997</v>
      </c>
      <c r="N56" s="22">
        <v>5000</v>
      </c>
      <c r="O56" s="3" t="s">
        <v>492</v>
      </c>
      <c r="P56" s="3" t="s">
        <v>334</v>
      </c>
      <c r="Q56" s="3" t="s">
        <v>379</v>
      </c>
      <c r="R56" s="3" t="s">
        <v>40</v>
      </c>
      <c r="S56" s="4" t="b">
        <v>0</v>
      </c>
      <c r="T56" s="3" t="s">
        <v>16</v>
      </c>
      <c r="U56" s="3">
        <f>VALUE(Table4[[#This Row],[usd_pledged]])</f>
        <v>5619.5244199999997</v>
      </c>
      <c r="V56" s="12">
        <v>5016.9018299999998</v>
      </c>
      <c r="W56" t="str">
        <f>CONCATENATE(L56, " ", Table4[[#This Row],[Currency_CAP]], " ", PROPER("pledged"))</f>
        <v>5041 EUR Pledged</v>
      </c>
      <c r="X56" t="str">
        <f>LEFT(Table4[[#This Row],[state]],LEN(Table4[[#This Row],[state]])-7)</f>
        <v>Pays de la Loire</v>
      </c>
      <c r="Y56" t="str">
        <f>SUBSTITUTE(Table4[[#This Row],[Concat Names]],":","-")</f>
        <v xml:space="preserve"> 1981294931  -C'est pour toi</v>
      </c>
      <c r="Z56" t="str">
        <f t="shared" si="0"/>
        <v>1981294931 -C'est pour toi</v>
      </c>
      <c r="AA56">
        <f t="shared" si="1"/>
        <v>54</v>
      </c>
      <c r="AB56" t="str">
        <f>RIGHT(Table4[[#This Row],[source_url]],LEN(Table4[[#This Row],[source_url]])-AA56)</f>
        <v>logy/wearables</v>
      </c>
    </row>
    <row r="57" spans="1:28" x14ac:dyDescent="0.2">
      <c r="A57" s="7" t="s">
        <v>638</v>
      </c>
      <c r="B57" s="3" t="s">
        <v>278</v>
      </c>
      <c r="C57" s="3" t="str">
        <f>CONCATENATE(Table4[[#This Row],[id]], "-", Table4[[#This Row],[name]])</f>
        <v xml:space="preserve"> 1659350880  -The Customizable Smart Band that Lights Up Your Night</v>
      </c>
      <c r="D57" s="5">
        <v>42502</v>
      </c>
      <c r="E57" s="5">
        <v>42571</v>
      </c>
      <c r="F57" s="5">
        <v>42601</v>
      </c>
      <c r="G57" s="5" t="b">
        <f>EXACT(Table4[[#This Row],[created_at]],Table4[[#This Row],[launched_at]])</f>
        <v>0</v>
      </c>
      <c r="H57" s="3">
        <v>2071</v>
      </c>
      <c r="I57" s="3" t="s">
        <v>15</v>
      </c>
      <c r="J57" s="3" t="str">
        <f>UPPER(Table4[[#This Row],[currency]])</f>
        <v>USD</v>
      </c>
      <c r="K57" s="3">
        <v>1</v>
      </c>
      <c r="L57" s="3">
        <v>212535.99</v>
      </c>
      <c r="M57" s="23">
        <v>212535.99</v>
      </c>
      <c r="N57" s="22">
        <v>50000</v>
      </c>
      <c r="O57" s="3" t="s">
        <v>372</v>
      </c>
      <c r="P57" s="3" t="s">
        <v>289</v>
      </c>
      <c r="Q57" s="3" t="s">
        <v>513</v>
      </c>
      <c r="R57" s="3" t="s">
        <v>40</v>
      </c>
      <c r="S57" s="4" t="b">
        <v>0</v>
      </c>
      <c r="T57" s="3" t="s">
        <v>16</v>
      </c>
      <c r="U57" s="3">
        <f>VALUE(Table4[[#This Row],[usd_pledged]])</f>
        <v>212535.99</v>
      </c>
      <c r="V57" s="12">
        <v>5240</v>
      </c>
      <c r="W57" t="str">
        <f>CONCATENATE(L57, " ", Table4[[#This Row],[Currency_CAP]], " ", PROPER("pledged"))</f>
        <v>212535.99 USD Pledged</v>
      </c>
      <c r="X57" t="str">
        <f>LEFT(Table4[[#This Row],[state]],LEN(Table4[[#This Row],[state]])-7)</f>
        <v>WA</v>
      </c>
      <c r="Y57" t="str">
        <f>SUBSTITUTE(Table4[[#This Row],[Concat Names]],":","-")</f>
        <v xml:space="preserve"> 1659350880  -The Customizable Smart Band that Lights Up Your Night</v>
      </c>
      <c r="Z57" t="str">
        <f t="shared" si="0"/>
        <v>1659350880 -The Customizable Smart Band that Lights Up Your Night</v>
      </c>
      <c r="AA57">
        <f t="shared" si="1"/>
        <v>54</v>
      </c>
      <c r="AB57" t="str">
        <f>RIGHT(Table4[[#This Row],[source_url]],LEN(Table4[[#This Row],[source_url]])-AA57)</f>
        <v>logy/wearables</v>
      </c>
    </row>
    <row r="58" spans="1:28" x14ac:dyDescent="0.2">
      <c r="A58" s="7" t="s">
        <v>565</v>
      </c>
      <c r="B58" s="3" t="s">
        <v>84</v>
      </c>
      <c r="C58" s="3" t="str">
        <f>CONCATENATE(Table4[[#This Row],[id]], "-", Table4[[#This Row],[name]])</f>
        <v xml:space="preserve"> 430176905  -Silky soft heart rate monitor</v>
      </c>
      <c r="D58" s="5">
        <v>42526</v>
      </c>
      <c r="E58" s="5">
        <v>42529</v>
      </c>
      <c r="F58" s="5">
        <v>42559</v>
      </c>
      <c r="G58" s="5" t="b">
        <f>EXACT(Table4[[#This Row],[created_at]],Table4[[#This Row],[launched_at]])</f>
        <v>0</v>
      </c>
      <c r="H58" s="3">
        <v>1</v>
      </c>
      <c r="I58" s="3" t="s">
        <v>15</v>
      </c>
      <c r="J58" s="3" t="str">
        <f>UPPER(Table4[[#This Row],[currency]])</f>
        <v>USD</v>
      </c>
      <c r="K58" s="3">
        <v>1</v>
      </c>
      <c r="L58" s="3">
        <v>60</v>
      </c>
      <c r="M58" s="23">
        <v>60</v>
      </c>
      <c r="N58" s="22">
        <v>10000</v>
      </c>
      <c r="O58" s="3" t="s">
        <v>365</v>
      </c>
      <c r="P58" s="3" t="s">
        <v>299</v>
      </c>
      <c r="Q58" s="3" t="s">
        <v>513</v>
      </c>
      <c r="R58" s="3" t="s">
        <v>40</v>
      </c>
      <c r="S58" s="4" t="b">
        <v>0</v>
      </c>
      <c r="T58" s="3" t="s">
        <v>17</v>
      </c>
      <c r="U58" s="3">
        <f>VALUE(Table4[[#This Row],[usd_pledged]])</f>
        <v>60</v>
      </c>
      <c r="V58" s="12">
        <v>5619.5244199999997</v>
      </c>
      <c r="W58" t="str">
        <f>CONCATENATE(L58, " ", Table4[[#This Row],[Currency_CAP]], " ", PROPER("pledged"))</f>
        <v>60 USD Pledged</v>
      </c>
      <c r="X58" t="str">
        <f>LEFT(Table4[[#This Row],[state]],LEN(Table4[[#This Row],[state]])-7)</f>
        <v>NY</v>
      </c>
      <c r="Y58" t="str">
        <f>SUBSTITUTE(Table4[[#This Row],[Concat Names]],":","-")</f>
        <v xml:space="preserve"> 430176905  -Silky soft heart rate monitor</v>
      </c>
      <c r="Z58" t="str">
        <f t="shared" si="0"/>
        <v>430176905 -Silky soft heart rate monitor</v>
      </c>
      <c r="AA58">
        <f t="shared" si="1"/>
        <v>54</v>
      </c>
      <c r="AB58" t="str">
        <f>RIGHT(Table4[[#This Row],[source_url]],LEN(Table4[[#This Row],[source_url]])-AA58)</f>
        <v>logy/wearables</v>
      </c>
    </row>
    <row r="59" spans="1:28" x14ac:dyDescent="0.2">
      <c r="A59" s="7" t="s">
        <v>543</v>
      </c>
      <c r="B59" s="3" t="s">
        <v>42</v>
      </c>
      <c r="C59" s="3" t="str">
        <f>CONCATENATE(Table4[[#This Row],[id]], "-", Table4[[#This Row],[name]])</f>
        <v xml:space="preserve"> 2026307233  -EverDry socks: THE All-terrain Waterproof sock</v>
      </c>
      <c r="D59" s="5">
        <v>42592</v>
      </c>
      <c r="E59" s="5">
        <v>42599</v>
      </c>
      <c r="F59" s="5">
        <v>42629</v>
      </c>
      <c r="G59" s="5" t="b">
        <f>EXACT(Table4[[#This Row],[created_at]],Table4[[#This Row],[launched_at]])</f>
        <v>0</v>
      </c>
      <c r="H59" s="3">
        <v>112</v>
      </c>
      <c r="I59" s="3" t="s">
        <v>19</v>
      </c>
      <c r="J59" s="3" t="str">
        <f>UPPER(Table4[[#This Row],[currency]])</f>
        <v>GBP</v>
      </c>
      <c r="K59" s="3">
        <v>1.2926827700000001</v>
      </c>
      <c r="L59" s="3">
        <v>3881</v>
      </c>
      <c r="M59" s="23">
        <v>5016.9018299999998</v>
      </c>
      <c r="N59" s="22">
        <v>20000</v>
      </c>
      <c r="O59" s="3" t="s">
        <v>357</v>
      </c>
      <c r="P59" s="3" t="s">
        <v>295</v>
      </c>
      <c r="Q59" s="3" t="s">
        <v>515</v>
      </c>
      <c r="R59" s="3" t="s">
        <v>40</v>
      </c>
      <c r="S59" s="4" t="b">
        <v>0</v>
      </c>
      <c r="T59" s="3" t="s">
        <v>17</v>
      </c>
      <c r="U59" s="3">
        <f>VALUE(Table4[[#This Row],[usd_pledged]])</f>
        <v>5016.9018299999998</v>
      </c>
      <c r="V59" s="12">
        <v>5951</v>
      </c>
      <c r="W59" t="str">
        <f>CONCATENATE(L59, " ", Table4[[#This Row],[Currency_CAP]], " ", PROPER("pledged"))</f>
        <v>3881 GBP Pledged</v>
      </c>
      <c r="X59" t="str">
        <f>LEFT(Table4[[#This Row],[state]],LEN(Table4[[#This Row],[state]])-7)</f>
        <v>England</v>
      </c>
      <c r="Y59" t="str">
        <f>SUBSTITUTE(Table4[[#This Row],[Concat Names]],":","-")</f>
        <v xml:space="preserve"> 2026307233  -EverDry socks- THE All-terrain Waterproof sock</v>
      </c>
      <c r="Z59" t="str">
        <f t="shared" si="0"/>
        <v>2026307233 -EverDry socks- THE All-terrain Waterproof sock</v>
      </c>
      <c r="AA59">
        <f t="shared" si="1"/>
        <v>54</v>
      </c>
      <c r="AB59" t="str">
        <f>RIGHT(Table4[[#This Row],[source_url]],LEN(Table4[[#This Row],[source_url]])-AA59)</f>
        <v>logy/wearables</v>
      </c>
    </row>
    <row r="60" spans="1:28" x14ac:dyDescent="0.2">
      <c r="A60" s="7" t="s">
        <v>569</v>
      </c>
      <c r="B60" s="3" t="s">
        <v>88</v>
      </c>
      <c r="C60" s="3" t="str">
        <f>CONCATENATE(Table4[[#This Row],[id]], "-", Table4[[#This Row],[name]])</f>
        <v xml:space="preserve"> 161920117  -The Fastest LCD-tint changing Sunglasses; CTRL XC</v>
      </c>
      <c r="D60" s="5">
        <v>42603</v>
      </c>
      <c r="E60" s="5">
        <v>42627</v>
      </c>
      <c r="F60" s="5">
        <v>42657</v>
      </c>
      <c r="G60" s="5" t="b">
        <f>EXACT(Table4[[#This Row],[created_at]],Table4[[#This Row],[launched_at]])</f>
        <v>0</v>
      </c>
      <c r="H60" s="3">
        <v>168</v>
      </c>
      <c r="I60" s="3" t="s">
        <v>18</v>
      </c>
      <c r="J60" s="3" t="str">
        <f>UPPER(Table4[[#This Row],[currency]])</f>
        <v>EUR</v>
      </c>
      <c r="K60" s="3">
        <v>1.12346927</v>
      </c>
      <c r="L60" s="3">
        <v>24780</v>
      </c>
      <c r="M60" s="23">
        <v>27839.568500000001</v>
      </c>
      <c r="N60" s="22">
        <v>5000</v>
      </c>
      <c r="O60" s="3" t="s">
        <v>431</v>
      </c>
      <c r="P60" s="3" t="s">
        <v>296</v>
      </c>
      <c r="Q60" s="3" t="s">
        <v>513</v>
      </c>
      <c r="R60" s="3" t="s">
        <v>40</v>
      </c>
      <c r="S60" s="4" t="b">
        <v>0</v>
      </c>
      <c r="T60" s="3" t="s">
        <v>16</v>
      </c>
      <c r="U60" s="3">
        <f>VALUE(Table4[[#This Row],[usd_pledged]])</f>
        <v>27839.568500000001</v>
      </c>
      <c r="V60" s="12">
        <v>6473</v>
      </c>
      <c r="W60" t="str">
        <f>CONCATENATE(L60, " ", Table4[[#This Row],[Currency_CAP]], " ", PROPER("pledged"))</f>
        <v>24780 EUR Pledged</v>
      </c>
      <c r="X60" t="str">
        <f>LEFT(Table4[[#This Row],[state]],LEN(Table4[[#This Row],[state]])-7)</f>
        <v>OH</v>
      </c>
      <c r="Y60" t="str">
        <f>SUBSTITUTE(Table4[[#This Row],[Concat Names]],":","-")</f>
        <v xml:space="preserve"> 161920117  -The Fastest LCD-tint changing Sunglasses; CTRL XC</v>
      </c>
      <c r="Z60" t="str">
        <f t="shared" si="0"/>
        <v>161920117 -The Fastest LCD-tint changing Sunglasses; CTRL XC</v>
      </c>
      <c r="AA60">
        <f t="shared" si="1"/>
        <v>54</v>
      </c>
      <c r="AB60" t="str">
        <f>RIGHT(Table4[[#This Row],[source_url]],LEN(Table4[[#This Row],[source_url]])-AA60)</f>
        <v>logy/wearables</v>
      </c>
    </row>
    <row r="61" spans="1:28" x14ac:dyDescent="0.2">
      <c r="A61" s="7" t="s">
        <v>570</v>
      </c>
      <c r="B61" s="3" t="s">
        <v>89</v>
      </c>
      <c r="C61" s="3" t="str">
        <f>CONCATENATE(Table4[[#This Row],[id]], "-", Table4[[#This Row],[name]])</f>
        <v xml:space="preserve"> 1115950125  -WELT : The Smart Belt for Fashion &amp; Health</v>
      </c>
      <c r="D61" s="5">
        <v>42604</v>
      </c>
      <c r="E61" s="5">
        <v>42612</v>
      </c>
      <c r="F61" s="5">
        <v>42649</v>
      </c>
      <c r="G61" s="5" t="b">
        <f>EXACT(Table4[[#This Row],[created_at]],Table4[[#This Row],[launched_at]])</f>
        <v>0</v>
      </c>
      <c r="H61" s="3">
        <v>630</v>
      </c>
      <c r="I61" s="3" t="s">
        <v>15</v>
      </c>
      <c r="J61" s="3" t="str">
        <f>UPPER(Table4[[#This Row],[currency]])</f>
        <v>USD</v>
      </c>
      <c r="K61" s="3">
        <v>1</v>
      </c>
      <c r="L61" s="3">
        <v>72964</v>
      </c>
      <c r="M61" s="23">
        <v>72964</v>
      </c>
      <c r="N61" s="22">
        <v>30000</v>
      </c>
      <c r="O61" s="3" t="s">
        <v>352</v>
      </c>
      <c r="P61" s="3" t="s">
        <v>299</v>
      </c>
      <c r="Q61" s="3" t="s">
        <v>513</v>
      </c>
      <c r="R61" s="3" t="s">
        <v>40</v>
      </c>
      <c r="S61" s="4" t="b">
        <v>0</v>
      </c>
      <c r="T61" s="3" t="s">
        <v>16</v>
      </c>
      <c r="U61" s="3">
        <f>VALUE(Table4[[#This Row],[usd_pledged]])</f>
        <v>72964</v>
      </c>
      <c r="V61" s="12">
        <v>6512</v>
      </c>
      <c r="W61" t="str">
        <f>CONCATENATE(L61, " ", Table4[[#This Row],[Currency_CAP]], " ", PROPER("pledged"))</f>
        <v>72964 USD Pledged</v>
      </c>
      <c r="X61" t="str">
        <f>LEFT(Table4[[#This Row],[state]],LEN(Table4[[#This Row],[state]])-7)</f>
        <v>NY</v>
      </c>
      <c r="Y61" t="str">
        <f>SUBSTITUTE(Table4[[#This Row],[Concat Names]],":","-")</f>
        <v xml:space="preserve"> 1115950125  -WELT - The Smart Belt for Fashion &amp; Health</v>
      </c>
      <c r="Z61" t="str">
        <f t="shared" si="0"/>
        <v>1115950125 -WELT - The Smart Belt for Fashion &amp; Health</v>
      </c>
      <c r="AA61">
        <f t="shared" si="1"/>
        <v>54</v>
      </c>
      <c r="AB61" t="str">
        <f>RIGHT(Table4[[#This Row],[source_url]],LEN(Table4[[#This Row],[source_url]])-AA61)</f>
        <v>logy/wearables</v>
      </c>
    </row>
    <row r="62" spans="1:28" x14ac:dyDescent="0.2">
      <c r="A62" s="7" t="s">
        <v>545</v>
      </c>
      <c r="B62" s="3" t="s">
        <v>45</v>
      </c>
      <c r="C62" s="3" t="str">
        <f>CONCATENATE(Table4[[#This Row],[id]], "-", Table4[[#This Row],[name]])</f>
        <v xml:space="preserve"> 83867841  -JellyBeanZ - Wireless Stereo Earbuds with Phone Integration!</v>
      </c>
      <c r="D62" s="5">
        <v>42610</v>
      </c>
      <c r="E62" s="5">
        <v>42626</v>
      </c>
      <c r="F62" s="5">
        <v>42656</v>
      </c>
      <c r="G62" s="5" t="b">
        <f>EXACT(Table4[[#This Row],[created_at]],Table4[[#This Row],[launched_at]])</f>
        <v>0</v>
      </c>
      <c r="H62" s="3">
        <v>17</v>
      </c>
      <c r="I62" s="3" t="s">
        <v>15</v>
      </c>
      <c r="J62" s="3" t="str">
        <f>UPPER(Table4[[#This Row],[currency]])</f>
        <v>USD</v>
      </c>
      <c r="K62" s="3">
        <v>1</v>
      </c>
      <c r="L62" s="3">
        <v>1450</v>
      </c>
      <c r="M62" s="23">
        <v>1450</v>
      </c>
      <c r="N62" s="22">
        <v>45000</v>
      </c>
      <c r="O62" s="3" t="s">
        <v>427</v>
      </c>
      <c r="P62" s="3" t="s">
        <v>293</v>
      </c>
      <c r="Q62" s="3" t="s">
        <v>513</v>
      </c>
      <c r="R62" s="3" t="s">
        <v>40</v>
      </c>
      <c r="S62" s="4" t="b">
        <v>0</v>
      </c>
      <c r="T62" s="3" t="s">
        <v>29</v>
      </c>
      <c r="U62" s="3">
        <f>VALUE(Table4[[#This Row],[usd_pledged]])</f>
        <v>1450</v>
      </c>
      <c r="V62" s="12">
        <v>6831</v>
      </c>
      <c r="W62" t="str">
        <f>CONCATENATE(L62, " ", Table4[[#This Row],[Currency_CAP]], " ", PROPER("pledged"))</f>
        <v>1450 USD Pledged</v>
      </c>
      <c r="X62" t="str">
        <f>LEFT(Table4[[#This Row],[state]],LEN(Table4[[#This Row],[state]])-7)</f>
        <v>TX</v>
      </c>
      <c r="Y62" t="str">
        <f>SUBSTITUTE(Table4[[#This Row],[Concat Names]],":","-")</f>
        <v xml:space="preserve"> 83867841  -JellyBeanZ - Wireless Stereo Earbuds with Phone Integration!</v>
      </c>
      <c r="Z62" t="str">
        <f t="shared" si="0"/>
        <v>83867841 -JellyBeanZ - Wireless Stereo Earbuds with Phone Integration!</v>
      </c>
      <c r="AA62">
        <f t="shared" si="1"/>
        <v>54</v>
      </c>
      <c r="AB62" t="str">
        <f>RIGHT(Table4[[#This Row],[source_url]],LEN(Table4[[#This Row],[source_url]])-AA62)</f>
        <v>logy/wearables</v>
      </c>
    </row>
    <row r="63" spans="1:28" x14ac:dyDescent="0.2">
      <c r="A63" s="7" t="s">
        <v>557</v>
      </c>
      <c r="B63" s="3" t="s">
        <v>71</v>
      </c>
      <c r="C63" s="3" t="str">
        <f>CONCATENATE(Table4[[#This Row],[id]], "-", Table4[[#This Row],[name]])</f>
        <v xml:space="preserve"> 579140079  -Go Solar Gloves: Knocking Out Dead Phone Batteries</v>
      </c>
      <c r="D63" s="5">
        <v>42613</v>
      </c>
      <c r="E63" s="5">
        <v>42649</v>
      </c>
      <c r="F63" s="5">
        <v>42679</v>
      </c>
      <c r="G63" s="5" t="b">
        <f>EXACT(Table4[[#This Row],[created_at]],Table4[[#This Row],[launched_at]])</f>
        <v>0</v>
      </c>
      <c r="H63" s="3">
        <v>9</v>
      </c>
      <c r="I63" s="3" t="s">
        <v>15</v>
      </c>
      <c r="J63" s="3" t="str">
        <f>UPPER(Table4[[#This Row],[currency]])</f>
        <v>USD</v>
      </c>
      <c r="K63" s="3">
        <v>1</v>
      </c>
      <c r="L63" s="3">
        <v>615</v>
      </c>
      <c r="M63" s="23">
        <v>615</v>
      </c>
      <c r="N63" s="22">
        <v>10000</v>
      </c>
      <c r="O63" s="3" t="s">
        <v>442</v>
      </c>
      <c r="P63" s="3" t="s">
        <v>311</v>
      </c>
      <c r="Q63" s="3" t="s">
        <v>513</v>
      </c>
      <c r="R63" s="3" t="s">
        <v>40</v>
      </c>
      <c r="S63" s="4" t="b">
        <v>0</v>
      </c>
      <c r="T63" s="3" t="s">
        <v>17</v>
      </c>
      <c r="U63" s="3">
        <f>VALUE(Table4[[#This Row],[usd_pledged]])</f>
        <v>615</v>
      </c>
      <c r="V63" s="12">
        <v>7622.7293300000001</v>
      </c>
      <c r="W63" t="str">
        <f>CONCATENATE(L63, " ", Table4[[#This Row],[Currency_CAP]], " ", PROPER("pledged"))</f>
        <v>615 USD Pledged</v>
      </c>
      <c r="X63" t="str">
        <f>LEFT(Table4[[#This Row],[state]],LEN(Table4[[#This Row],[state]])-7)</f>
        <v>UT</v>
      </c>
      <c r="Y63" t="str">
        <f>SUBSTITUTE(Table4[[#This Row],[Concat Names]],":","-")</f>
        <v xml:space="preserve"> 579140079  -Go Solar Gloves- Knocking Out Dead Phone Batteries</v>
      </c>
      <c r="Z63" t="str">
        <f t="shared" si="0"/>
        <v>579140079 -Go Solar Gloves- Knocking Out Dead Phone Batteries</v>
      </c>
      <c r="AA63">
        <f t="shared" si="1"/>
        <v>54</v>
      </c>
      <c r="AB63" t="str">
        <f>RIGHT(Table4[[#This Row],[source_url]],LEN(Table4[[#This Row],[source_url]])-AA63)</f>
        <v>logy/wearables</v>
      </c>
    </row>
    <row r="64" spans="1:28" x14ac:dyDescent="0.2">
      <c r="A64" s="7" t="s">
        <v>634</v>
      </c>
      <c r="B64" s="3" t="s">
        <v>269</v>
      </c>
      <c r="C64" s="3" t="str">
        <f>CONCATENATE(Table4[[#This Row],[id]], "-", Table4[[#This Row],[name]])</f>
        <v xml:space="preserve"> 361230638  -LVL ‚Äì The First Wearable Hydration Monitor</v>
      </c>
      <c r="D64" s="5">
        <v>42614</v>
      </c>
      <c r="E64" s="5">
        <v>42626</v>
      </c>
      <c r="F64" s="5">
        <v>42670</v>
      </c>
      <c r="G64" s="5" t="b">
        <f>EXACT(Table4[[#This Row],[created_at]],Table4[[#This Row],[launched_at]])</f>
        <v>0</v>
      </c>
      <c r="H64" s="3">
        <v>7501</v>
      </c>
      <c r="I64" s="3" t="s">
        <v>15</v>
      </c>
      <c r="J64" s="3" t="str">
        <f>UPPER(Table4[[#This Row],[currency]])</f>
        <v>USD</v>
      </c>
      <c r="K64" s="3">
        <v>1</v>
      </c>
      <c r="L64" s="3">
        <v>1186983</v>
      </c>
      <c r="M64" s="23">
        <v>1186983</v>
      </c>
      <c r="N64" s="22">
        <v>50000</v>
      </c>
      <c r="O64" s="3" t="s">
        <v>354</v>
      </c>
      <c r="P64" s="3" t="s">
        <v>293</v>
      </c>
      <c r="Q64" s="3" t="s">
        <v>513</v>
      </c>
      <c r="R64" s="3" t="s">
        <v>40</v>
      </c>
      <c r="S64" s="4" t="b">
        <v>1</v>
      </c>
      <c r="T64" s="3" t="s">
        <v>16</v>
      </c>
      <c r="U64" s="3">
        <f>VALUE(Table4[[#This Row],[usd_pledged]])</f>
        <v>1186983</v>
      </c>
      <c r="V64" s="12">
        <v>7644</v>
      </c>
      <c r="W64" t="str">
        <f>CONCATENATE(L64, " ", Table4[[#This Row],[Currency_CAP]], " ", PROPER("pledged"))</f>
        <v>1186983 USD Pledged</v>
      </c>
      <c r="X64" t="str">
        <f>LEFT(Table4[[#This Row],[state]],LEN(Table4[[#This Row],[state]])-7)</f>
        <v>TX</v>
      </c>
      <c r="Y64" t="str">
        <f>SUBSTITUTE(Table4[[#This Row],[Concat Names]],":","-")</f>
        <v xml:space="preserve"> 361230638  -LVL ‚Äì The First Wearable Hydration Monitor</v>
      </c>
      <c r="Z64" t="str">
        <f t="shared" si="0"/>
        <v>361230638 -LVL ‚Äì The First Wearable Hydration Monitor</v>
      </c>
      <c r="AA64">
        <f t="shared" si="1"/>
        <v>54</v>
      </c>
      <c r="AB64" t="str">
        <f>RIGHT(Table4[[#This Row],[source_url]],LEN(Table4[[#This Row],[source_url]])-AA64)</f>
        <v>logy/wearables</v>
      </c>
    </row>
    <row r="65" spans="1:28" x14ac:dyDescent="0.2">
      <c r="A65" s="7" t="s">
        <v>556</v>
      </c>
      <c r="B65" s="3" t="s">
        <v>69</v>
      </c>
      <c r="C65" s="3" t="str">
        <f>CONCATENATE(Table4[[#This Row],[id]], "-", Table4[[#This Row],[name]])</f>
        <v xml:space="preserve"> 1892013298  -The First Fashionable GPS Smart Watch for Kids - POMO Waffle</v>
      </c>
      <c r="D65" s="5">
        <v>42676</v>
      </c>
      <c r="E65" s="5">
        <v>42696</v>
      </c>
      <c r="F65" s="5">
        <v>42741</v>
      </c>
      <c r="G65" s="5" t="b">
        <f>EXACT(Table4[[#This Row],[created_at]],Table4[[#This Row],[launched_at]])</f>
        <v>0</v>
      </c>
      <c r="H65" s="3">
        <v>461</v>
      </c>
      <c r="I65" s="3" t="s">
        <v>15</v>
      </c>
      <c r="J65" s="3" t="str">
        <f>UPPER(Table4[[#This Row],[currency]])</f>
        <v>USD</v>
      </c>
      <c r="K65" s="3">
        <v>1</v>
      </c>
      <c r="L65" s="3">
        <v>90584</v>
      </c>
      <c r="M65" s="23">
        <v>90584</v>
      </c>
      <c r="N65" s="22">
        <v>30000</v>
      </c>
      <c r="O65" s="3" t="s">
        <v>405</v>
      </c>
      <c r="P65" s="3" t="s">
        <v>321</v>
      </c>
      <c r="Q65" s="3" t="s">
        <v>405</v>
      </c>
      <c r="R65" s="3" t="s">
        <v>40</v>
      </c>
      <c r="S65" s="4" t="b">
        <v>1</v>
      </c>
      <c r="T65" s="3" t="s">
        <v>16</v>
      </c>
      <c r="U65" s="3">
        <f>VALUE(Table4[[#This Row],[usd_pledged]])</f>
        <v>90584</v>
      </c>
      <c r="V65" s="12">
        <v>8575.5304199999991</v>
      </c>
      <c r="W65" t="str">
        <f>CONCATENATE(L65, " ", Table4[[#This Row],[Currency_CAP]], " ", PROPER("pledged"))</f>
        <v>90584 USD Pledged</v>
      </c>
      <c r="X65" t="str">
        <f>LEFT(Table4[[#This Row],[state]],LEN(Table4[[#This Row],[state]])-7)</f>
        <v>Central Singapore</v>
      </c>
      <c r="Y65" t="str">
        <f>SUBSTITUTE(Table4[[#This Row],[Concat Names]],":","-")</f>
        <v xml:space="preserve"> 1892013298  -The First Fashionable GPS Smart Watch for Kids - POMO Waffle</v>
      </c>
      <c r="Z65" t="str">
        <f t="shared" si="0"/>
        <v>1892013298 -The First Fashionable GPS Smart Watch for Kids - POMO Waffle</v>
      </c>
      <c r="AA65">
        <f t="shared" si="1"/>
        <v>54</v>
      </c>
      <c r="AB65" t="str">
        <f>RIGHT(Table4[[#This Row],[source_url]],LEN(Table4[[#This Row],[source_url]])-AA65)</f>
        <v>logy/wearables</v>
      </c>
    </row>
    <row r="66" spans="1:28" x14ac:dyDescent="0.2">
      <c r="A66" s="7" t="s">
        <v>613</v>
      </c>
      <c r="B66" s="3" t="s">
        <v>204</v>
      </c>
      <c r="C66" s="3" t="str">
        <f>CONCATENATE(Table4[[#This Row],[id]], "-", Table4[[#This Row],[name]])</f>
        <v xml:space="preserve"> 1665995686  -The Wave!</v>
      </c>
      <c r="D66" s="5">
        <v>42682</v>
      </c>
      <c r="E66" s="5">
        <v>42696</v>
      </c>
      <c r="F66" s="5">
        <v>42726</v>
      </c>
      <c r="G66" s="5" t="b">
        <f>EXACT(Table4[[#This Row],[created_at]],Table4[[#This Row],[launched_at]])</f>
        <v>0</v>
      </c>
      <c r="H66" s="3">
        <v>96</v>
      </c>
      <c r="I66" s="3" t="s">
        <v>15</v>
      </c>
      <c r="J66" s="3" t="str">
        <f>UPPER(Table4[[#This Row],[currency]])</f>
        <v>USD</v>
      </c>
      <c r="K66" s="3">
        <v>1</v>
      </c>
      <c r="L66" s="3">
        <v>5951</v>
      </c>
      <c r="M66" s="23">
        <v>5951</v>
      </c>
      <c r="N66" s="22">
        <v>35000</v>
      </c>
      <c r="O66" s="3" t="s">
        <v>361</v>
      </c>
      <c r="P66" s="3" t="s">
        <v>304</v>
      </c>
      <c r="Q66" s="3" t="s">
        <v>513</v>
      </c>
      <c r="R66" s="3" t="s">
        <v>40</v>
      </c>
      <c r="S66" s="4" t="b">
        <v>0</v>
      </c>
      <c r="T66" s="3" t="s">
        <v>17</v>
      </c>
      <c r="U66" s="3">
        <f>VALUE(Table4[[#This Row],[usd_pledged]])</f>
        <v>5951</v>
      </c>
      <c r="V66" s="12">
        <v>9998.99064</v>
      </c>
      <c r="W66" t="str">
        <f>CONCATENATE(L66, " ", Table4[[#This Row],[Currency_CAP]], " ", PROPER("pledged"))</f>
        <v>5951 USD Pledged</v>
      </c>
      <c r="X66" t="str">
        <f>LEFT(Table4[[#This Row],[state]],LEN(Table4[[#This Row],[state]])-7)</f>
        <v>CO</v>
      </c>
      <c r="Y66" t="str">
        <f>SUBSTITUTE(Table4[[#This Row],[Concat Names]],":","-")</f>
        <v xml:space="preserve"> 1665995686  -The Wave!</v>
      </c>
      <c r="Z66" t="str">
        <f t="shared" si="0"/>
        <v>1665995686 -The Wave!</v>
      </c>
      <c r="AA66">
        <f t="shared" si="1"/>
        <v>54</v>
      </c>
      <c r="AB66" t="str">
        <f>RIGHT(Table4[[#This Row],[source_url]],LEN(Table4[[#This Row],[source_url]])-AA66)</f>
        <v>logy/wearables</v>
      </c>
    </row>
    <row r="67" spans="1:28" x14ac:dyDescent="0.2">
      <c r="A67" s="7" t="s">
        <v>542</v>
      </c>
      <c r="B67" s="3" t="s">
        <v>39</v>
      </c>
      <c r="C67" s="3" t="str">
        <f>CONCATENATE(Table4[[#This Row],[id]], "-", Table4[[#This Row],[name]])</f>
        <v xml:space="preserve"> 712049365  -STAY WARM STAY CONNECTED JACKET</v>
      </c>
      <c r="D67" s="5">
        <v>42686</v>
      </c>
      <c r="E67" s="5">
        <v>42689</v>
      </c>
      <c r="F67" s="5">
        <v>42719</v>
      </c>
      <c r="G67" s="5" t="b">
        <f>EXACT(Table4[[#This Row],[created_at]],Table4[[#This Row],[launched_at]])</f>
        <v>0</v>
      </c>
      <c r="H67" s="3">
        <v>0</v>
      </c>
      <c r="I67" s="3" t="s">
        <v>15</v>
      </c>
      <c r="J67" s="3" t="str">
        <f>UPPER(Table4[[#This Row],[currency]])</f>
        <v>USD</v>
      </c>
      <c r="K67" s="3">
        <v>1</v>
      </c>
      <c r="L67" s="3">
        <v>0</v>
      </c>
      <c r="M67" s="23">
        <v>0</v>
      </c>
      <c r="N67" s="22">
        <v>50000</v>
      </c>
      <c r="O67" s="3" t="s">
        <v>374</v>
      </c>
      <c r="P67" s="3" t="s">
        <v>292</v>
      </c>
      <c r="Q67" s="3" t="s">
        <v>513</v>
      </c>
      <c r="R67" s="3" t="s">
        <v>40</v>
      </c>
      <c r="S67" s="4" t="b">
        <v>0</v>
      </c>
      <c r="T67" s="3" t="s">
        <v>17</v>
      </c>
      <c r="U67" s="3">
        <f>VALUE(Table4[[#This Row],[usd_pledged]])</f>
        <v>0</v>
      </c>
      <c r="V67" s="12">
        <v>10267</v>
      </c>
      <c r="W67" t="str">
        <f>CONCATENATE(L67, " ", Table4[[#This Row],[Currency_CAP]], " ", PROPER("pledged"))</f>
        <v>0 USD Pledged</v>
      </c>
      <c r="X67" t="str">
        <f>LEFT(Table4[[#This Row],[state]],LEN(Table4[[#This Row],[state]])-7)</f>
        <v>MI</v>
      </c>
      <c r="Y67" t="str">
        <f>SUBSTITUTE(Table4[[#This Row],[Concat Names]],":","-")</f>
        <v xml:space="preserve"> 712049365  -STAY WARM STAY CONNECTED JACKET</v>
      </c>
      <c r="Z67" t="str">
        <f t="shared" ref="Z67:Z104" si="2">TRIM(Y67)</f>
        <v>712049365 -STAY WARM STAY CONNECTED JACKET</v>
      </c>
      <c r="AA67">
        <f t="shared" ref="AA67:AA104" si="3">LEN("https://www.kickstarter.com/discover/categories/games/")</f>
        <v>54</v>
      </c>
      <c r="AB67" t="str">
        <f>RIGHT(Table4[[#This Row],[source_url]],LEN(Table4[[#This Row],[source_url]])-AA67)</f>
        <v>logy/wearables</v>
      </c>
    </row>
    <row r="68" spans="1:28" x14ac:dyDescent="0.2">
      <c r="A68" s="7" t="s">
        <v>618</v>
      </c>
      <c r="B68" s="3" t="s">
        <v>211</v>
      </c>
      <c r="C68" s="3" t="str">
        <f>CONCATENATE(Table4[[#This Row],[id]], "-", Table4[[#This Row],[name]])</f>
        <v xml:space="preserve"> 1354607855  -X-ACT Compression - Engineered to Outperform</v>
      </c>
      <c r="D68" s="5">
        <v>42701</v>
      </c>
      <c r="E68" s="5">
        <v>42719</v>
      </c>
      <c r="F68" s="5">
        <v>42779</v>
      </c>
      <c r="G68" s="5" t="b">
        <f>EXACT(Table4[[#This Row],[created_at]],Table4[[#This Row],[launched_at]])</f>
        <v>0</v>
      </c>
      <c r="H68" s="3">
        <v>78</v>
      </c>
      <c r="I68" s="3" t="s">
        <v>22</v>
      </c>
      <c r="J68" s="3" t="str">
        <f>UPPER(Table4[[#This Row],[currency]])</f>
        <v>CAD</v>
      </c>
      <c r="K68" s="3">
        <v>0.76149224999999998</v>
      </c>
      <c r="L68" s="3">
        <v>31318</v>
      </c>
      <c r="M68" s="23">
        <v>23848.4143</v>
      </c>
      <c r="N68" s="22">
        <v>30000</v>
      </c>
      <c r="O68" s="3" t="s">
        <v>364</v>
      </c>
      <c r="P68" s="3" t="s">
        <v>309</v>
      </c>
      <c r="Q68" s="3" t="s">
        <v>517</v>
      </c>
      <c r="R68" s="3" t="s">
        <v>40</v>
      </c>
      <c r="S68" s="4" t="b">
        <v>0</v>
      </c>
      <c r="T68" s="3" t="s">
        <v>16</v>
      </c>
      <c r="U68" s="3">
        <f>VALUE(Table4[[#This Row],[usd_pledged]])</f>
        <v>23848.4143</v>
      </c>
      <c r="V68" s="12">
        <v>10588</v>
      </c>
      <c r="W68" t="str">
        <f>CONCATENATE(L68, " ", Table4[[#This Row],[Currency_CAP]], " ", PROPER("pledged"))</f>
        <v>31318 CAD Pledged</v>
      </c>
      <c r="X68" t="str">
        <f>LEFT(Table4[[#This Row],[state]],LEN(Table4[[#This Row],[state]])-7)</f>
        <v>QC</v>
      </c>
      <c r="Y68" t="str">
        <f>SUBSTITUTE(Table4[[#This Row],[Concat Names]],":","-")</f>
        <v xml:space="preserve"> 1354607855  -X-ACT Compression - Engineered to Outperform</v>
      </c>
      <c r="Z68" t="str">
        <f t="shared" si="2"/>
        <v>1354607855 -X-ACT Compression - Engineered to Outperform</v>
      </c>
      <c r="AA68">
        <f t="shared" si="3"/>
        <v>54</v>
      </c>
      <c r="AB68" t="str">
        <f>RIGHT(Table4[[#This Row],[source_url]],LEN(Table4[[#This Row],[source_url]])-AA68)</f>
        <v>logy/wearables</v>
      </c>
    </row>
    <row r="69" spans="1:28" x14ac:dyDescent="0.2">
      <c r="A69" s="7" t="s">
        <v>560</v>
      </c>
      <c r="B69" s="3" t="s">
        <v>75</v>
      </c>
      <c r="C69" s="3" t="str">
        <f>CONCATENATE(Table4[[#This Row],[id]], "-", Table4[[#This Row],[name]])</f>
        <v xml:space="preserve"> 1282611588  -Brilliant safety backpack</v>
      </c>
      <c r="D69" s="5">
        <v>42712</v>
      </c>
      <c r="E69" s="5">
        <v>43075</v>
      </c>
      <c r="F69" s="5">
        <v>43100</v>
      </c>
      <c r="G69" s="5" t="b">
        <f>EXACT(Table4[[#This Row],[created_at]],Table4[[#This Row],[launched_at]])</f>
        <v>0</v>
      </c>
      <c r="H69" s="3">
        <v>10</v>
      </c>
      <c r="I69" s="3" t="s">
        <v>21</v>
      </c>
      <c r="J69" s="3" t="str">
        <f>UPPER(Table4[[#This Row],[currency]])</f>
        <v>SEK</v>
      </c>
      <c r="K69" s="3">
        <v>0.11879433</v>
      </c>
      <c r="L69" s="3">
        <v>11605</v>
      </c>
      <c r="M69" s="23">
        <v>1378.6081999999999</v>
      </c>
      <c r="N69" s="22">
        <v>500000</v>
      </c>
      <c r="O69" s="3" t="s">
        <v>348</v>
      </c>
      <c r="P69" s="3" t="s">
        <v>300</v>
      </c>
      <c r="Q69" s="3" t="s">
        <v>516</v>
      </c>
      <c r="R69" s="3" t="s">
        <v>40</v>
      </c>
      <c r="S69" s="4" t="b">
        <v>0</v>
      </c>
      <c r="T69" s="3" t="s">
        <v>17</v>
      </c>
      <c r="U69" s="3">
        <f>VALUE(Table4[[#This Row],[usd_pledged]])</f>
        <v>1378.6081999999999</v>
      </c>
      <c r="V69" s="12">
        <v>10707</v>
      </c>
      <c r="W69" t="str">
        <f>CONCATENATE(L69, " ", Table4[[#This Row],[Currency_CAP]], " ", PROPER("pledged"))</f>
        <v>11605 SEK Pledged</v>
      </c>
      <c r="X69" t="str">
        <f>LEFT(Table4[[#This Row],[state]],LEN(Table4[[#This Row],[state]])-7)</f>
        <v>Stockholm</v>
      </c>
      <c r="Y69" t="str">
        <f>SUBSTITUTE(Table4[[#This Row],[Concat Names]],":","-")</f>
        <v xml:space="preserve"> 1282611588  -Brilliant safety backpack</v>
      </c>
      <c r="Z69" t="str">
        <f t="shared" si="2"/>
        <v>1282611588 -Brilliant safety backpack</v>
      </c>
      <c r="AA69">
        <f t="shared" si="3"/>
        <v>54</v>
      </c>
      <c r="AB69" t="str">
        <f>RIGHT(Table4[[#This Row],[source_url]],LEN(Table4[[#This Row],[source_url]])-AA69)</f>
        <v>logy/wearables</v>
      </c>
    </row>
    <row r="70" spans="1:28" x14ac:dyDescent="0.2">
      <c r="A70" s="7" t="s">
        <v>641</v>
      </c>
      <c r="B70" s="3" t="s">
        <v>282</v>
      </c>
      <c r="C70" s="3" t="str">
        <f>CONCATENATE(Table4[[#This Row],[id]], "-", Table4[[#This Row],[name]])</f>
        <v xml:space="preserve"> 452775650  -XL Band Leather for Apple Watch in Black/Brown and 38mm/42mm</v>
      </c>
      <c r="D70" s="5">
        <v>42719</v>
      </c>
      <c r="E70" s="5">
        <v>42738</v>
      </c>
      <c r="F70" s="5">
        <v>42755</v>
      </c>
      <c r="G70" s="5" t="b">
        <f>EXACT(Table4[[#This Row],[created_at]],Table4[[#This Row],[launched_at]])</f>
        <v>0</v>
      </c>
      <c r="H70" s="3">
        <v>4</v>
      </c>
      <c r="I70" s="3" t="s">
        <v>15</v>
      </c>
      <c r="J70" s="3" t="str">
        <f>UPPER(Table4[[#This Row],[currency]])</f>
        <v>USD</v>
      </c>
      <c r="K70" s="3">
        <v>1</v>
      </c>
      <c r="L70" s="3">
        <v>567</v>
      </c>
      <c r="M70" s="23">
        <v>567</v>
      </c>
      <c r="N70" s="22">
        <v>5999</v>
      </c>
      <c r="O70" s="3" t="s">
        <v>341</v>
      </c>
      <c r="P70" s="3" t="s">
        <v>293</v>
      </c>
      <c r="Q70" s="3" t="s">
        <v>513</v>
      </c>
      <c r="R70" s="3" t="s">
        <v>40</v>
      </c>
      <c r="S70" s="4" t="b">
        <v>0</v>
      </c>
      <c r="T70" s="3" t="s">
        <v>17</v>
      </c>
      <c r="U70" s="3">
        <f>VALUE(Table4[[#This Row],[usd_pledged]])</f>
        <v>567</v>
      </c>
      <c r="V70" s="12">
        <v>12567</v>
      </c>
      <c r="W70" t="str">
        <f>CONCATENATE(L70, " ", Table4[[#This Row],[Currency_CAP]], " ", PROPER("pledged"))</f>
        <v>567 USD Pledged</v>
      </c>
      <c r="X70" t="str">
        <f>LEFT(Table4[[#This Row],[state]],LEN(Table4[[#This Row],[state]])-7)</f>
        <v>TX</v>
      </c>
      <c r="Y70" t="str">
        <f>SUBSTITUTE(Table4[[#This Row],[Concat Names]],":","-")</f>
        <v xml:space="preserve"> 452775650  -XL Band Leather for Apple Watch in Black/Brown and 38mm/42mm</v>
      </c>
      <c r="Z70" t="str">
        <f t="shared" si="2"/>
        <v>452775650 -XL Band Leather for Apple Watch in Black/Brown and 38mm/42mm</v>
      </c>
      <c r="AA70">
        <f t="shared" si="3"/>
        <v>54</v>
      </c>
      <c r="AB70" t="str">
        <f>RIGHT(Table4[[#This Row],[source_url]],LEN(Table4[[#This Row],[source_url]])-AA70)</f>
        <v>logy/wearables</v>
      </c>
    </row>
    <row r="71" spans="1:28" x14ac:dyDescent="0.2">
      <c r="A71" s="7" t="s">
        <v>622</v>
      </c>
      <c r="B71" s="3" t="s">
        <v>247</v>
      </c>
      <c r="C71" s="3" t="str">
        <f>CONCATENATE(Table4[[#This Row],[id]], "-", Table4[[#This Row],[name]])</f>
        <v xml:space="preserve"> 809200958  -Wearable (Canceled)</v>
      </c>
      <c r="D71" s="5">
        <v>42781</v>
      </c>
      <c r="E71" s="5">
        <v>42906</v>
      </c>
      <c r="F71" s="5">
        <v>42936</v>
      </c>
      <c r="G71" s="5" t="b">
        <f>EXACT(Table4[[#This Row],[created_at]],Table4[[#This Row],[launched_at]])</f>
        <v>0</v>
      </c>
      <c r="H71" s="3">
        <v>25</v>
      </c>
      <c r="I71" s="3" t="s">
        <v>19</v>
      </c>
      <c r="J71" s="3" t="str">
        <f>UPPER(Table4[[#This Row],[currency]])</f>
        <v>GBP</v>
      </c>
      <c r="K71" s="3">
        <v>1.277663</v>
      </c>
      <c r="L71" s="3">
        <v>7826</v>
      </c>
      <c r="M71" s="23">
        <v>9998.99064</v>
      </c>
      <c r="N71" s="22">
        <v>25000</v>
      </c>
      <c r="O71" s="3" t="s">
        <v>344</v>
      </c>
      <c r="P71" s="3" t="s">
        <v>295</v>
      </c>
      <c r="Q71" s="3" t="s">
        <v>515</v>
      </c>
      <c r="R71" s="3" t="s">
        <v>40</v>
      </c>
      <c r="S71" s="4" t="b">
        <v>0</v>
      </c>
      <c r="T71" s="3" t="s">
        <v>24</v>
      </c>
      <c r="U71" s="3">
        <f>VALUE(Table4[[#This Row],[usd_pledged]])</f>
        <v>9998.99064</v>
      </c>
      <c r="V71" s="12">
        <v>17012</v>
      </c>
      <c r="W71" t="str">
        <f>CONCATENATE(L71, " ", Table4[[#This Row],[Currency_CAP]], " ", PROPER("pledged"))</f>
        <v>7826 GBP Pledged</v>
      </c>
      <c r="X71" t="str">
        <f>LEFT(Table4[[#This Row],[state]],LEN(Table4[[#This Row],[state]])-7)</f>
        <v>England</v>
      </c>
      <c r="Y71" t="str">
        <f>SUBSTITUTE(Table4[[#This Row],[Concat Names]],":","-")</f>
        <v xml:space="preserve"> 809200958  -Wearable (Canceled)</v>
      </c>
      <c r="Z71" t="str">
        <f t="shared" si="2"/>
        <v>809200958 -Wearable (Canceled)</v>
      </c>
      <c r="AA71">
        <f t="shared" si="3"/>
        <v>54</v>
      </c>
      <c r="AB71" t="str">
        <f>RIGHT(Table4[[#This Row],[source_url]],LEN(Table4[[#This Row],[source_url]])-AA71)</f>
        <v>logy/wearables</v>
      </c>
    </row>
    <row r="72" spans="1:28" x14ac:dyDescent="0.2">
      <c r="A72" s="7" t="s">
        <v>580</v>
      </c>
      <c r="B72" s="3" t="s">
        <v>102</v>
      </c>
      <c r="C72" s="3" t="str">
        <f>CONCATENATE(Table4[[#This Row],[id]], "-", Table4[[#This Row],[name]])</f>
        <v xml:space="preserve"> 179565049  -The Smartcoat with My Core Control Technology Inside</v>
      </c>
      <c r="D72" s="5">
        <v>42788</v>
      </c>
      <c r="E72" s="5">
        <v>42942</v>
      </c>
      <c r="F72" s="5">
        <v>42972</v>
      </c>
      <c r="G72" s="5" t="b">
        <f>EXACT(Table4[[#This Row],[created_at]],Table4[[#This Row],[launched_at]])</f>
        <v>0</v>
      </c>
      <c r="H72" s="3">
        <v>49</v>
      </c>
      <c r="I72" s="3" t="s">
        <v>15</v>
      </c>
      <c r="J72" s="3" t="str">
        <f>UPPER(Table4[[#This Row],[currency]])</f>
        <v>USD</v>
      </c>
      <c r="K72" s="3">
        <v>1</v>
      </c>
      <c r="L72" s="3">
        <v>27175</v>
      </c>
      <c r="M72" s="23">
        <v>27175</v>
      </c>
      <c r="N72" s="22">
        <v>25000</v>
      </c>
      <c r="O72" s="3" t="s">
        <v>382</v>
      </c>
      <c r="P72" s="3" t="s">
        <v>293</v>
      </c>
      <c r="Q72" s="3" t="s">
        <v>513</v>
      </c>
      <c r="R72" s="3" t="s">
        <v>40</v>
      </c>
      <c r="S72" s="4" t="b">
        <v>0</v>
      </c>
      <c r="T72" s="3" t="s">
        <v>16</v>
      </c>
      <c r="U72" s="3">
        <f>VALUE(Table4[[#This Row],[usd_pledged]])</f>
        <v>27175</v>
      </c>
      <c r="V72" s="12">
        <v>17479.64</v>
      </c>
      <c r="W72" t="str">
        <f>CONCATENATE(L72, " ", Table4[[#This Row],[Currency_CAP]], " ", PROPER("pledged"))</f>
        <v>27175 USD Pledged</v>
      </c>
      <c r="X72" t="str">
        <f>LEFT(Table4[[#This Row],[state]],LEN(Table4[[#This Row],[state]])-7)</f>
        <v>TX</v>
      </c>
      <c r="Y72" t="str">
        <f>SUBSTITUTE(Table4[[#This Row],[Concat Names]],":","-")</f>
        <v xml:space="preserve"> 179565049  -The Smartcoat with My Core Control Technology Inside</v>
      </c>
      <c r="Z72" t="str">
        <f t="shared" si="2"/>
        <v>179565049 -The Smartcoat with My Core Control Technology Inside</v>
      </c>
      <c r="AA72">
        <f t="shared" si="3"/>
        <v>54</v>
      </c>
      <c r="AB72" t="str">
        <f>RIGHT(Table4[[#This Row],[source_url]],LEN(Table4[[#This Row],[source_url]])-AA72)</f>
        <v>logy/wearables</v>
      </c>
    </row>
    <row r="73" spans="1:28" x14ac:dyDescent="0.2">
      <c r="A73" s="7" t="s">
        <v>549</v>
      </c>
      <c r="B73" s="3" t="s">
        <v>54</v>
      </c>
      <c r="C73" s="3" t="str">
        <f>CONCATENATE(Table4[[#This Row],[id]], "-", Table4[[#This Row],[name]])</f>
        <v xml:space="preserve"> 2083388665  -Sock that counts your steps</v>
      </c>
      <c r="D73" s="5">
        <v>42790</v>
      </c>
      <c r="E73" s="5">
        <v>42829</v>
      </c>
      <c r="F73" s="5">
        <v>42889</v>
      </c>
      <c r="G73" s="5" t="b">
        <f>EXACT(Table4[[#This Row],[created_at]],Table4[[#This Row],[launched_at]])</f>
        <v>0</v>
      </c>
      <c r="H73" s="3">
        <v>2</v>
      </c>
      <c r="I73" s="3" t="s">
        <v>22</v>
      </c>
      <c r="J73" s="3" t="str">
        <f>UPPER(Table4[[#This Row],[currency]])</f>
        <v>CAD</v>
      </c>
      <c r="K73" s="3">
        <v>0.75110882000000001</v>
      </c>
      <c r="L73" s="3">
        <v>101</v>
      </c>
      <c r="M73" s="23">
        <v>75.861990800000001</v>
      </c>
      <c r="N73" s="22">
        <v>90000</v>
      </c>
      <c r="O73" s="3" t="s">
        <v>360</v>
      </c>
      <c r="P73" s="3" t="s">
        <v>307</v>
      </c>
      <c r="Q73" s="3" t="s">
        <v>517</v>
      </c>
      <c r="R73" s="3" t="s">
        <v>40</v>
      </c>
      <c r="S73" s="4" t="b">
        <v>0</v>
      </c>
      <c r="T73" s="3" t="s">
        <v>17</v>
      </c>
      <c r="U73" s="3">
        <f>VALUE(Table4[[#This Row],[usd_pledged]])</f>
        <v>75.861990800000001</v>
      </c>
      <c r="V73" s="12">
        <v>20159.5</v>
      </c>
      <c r="W73" t="str">
        <f>CONCATENATE(L73, " ", Table4[[#This Row],[Currency_CAP]], " ", PROPER("pledged"))</f>
        <v>101 CAD Pledged</v>
      </c>
      <c r="X73" t="str">
        <f>LEFT(Table4[[#This Row],[state]],LEN(Table4[[#This Row],[state]])-7)</f>
        <v>BC</v>
      </c>
      <c r="Y73" t="str">
        <f>SUBSTITUTE(Table4[[#This Row],[Concat Names]],":","-")</f>
        <v xml:space="preserve"> 2083388665  -Sock that counts your steps</v>
      </c>
      <c r="Z73" t="str">
        <f t="shared" si="2"/>
        <v>2083388665 -Sock that counts your steps</v>
      </c>
      <c r="AA73">
        <f t="shared" si="3"/>
        <v>54</v>
      </c>
      <c r="AB73" t="str">
        <f>RIGHT(Table4[[#This Row],[source_url]],LEN(Table4[[#This Row],[source_url]])-AA73)</f>
        <v>logy/wearables</v>
      </c>
    </row>
    <row r="74" spans="1:28" x14ac:dyDescent="0.2">
      <c r="A74" s="7" t="s">
        <v>566</v>
      </c>
      <c r="B74" s="3" t="s">
        <v>85</v>
      </c>
      <c r="C74" s="3" t="str">
        <f>CONCATENATE(Table4[[#This Row],[id]], "-", Table4[[#This Row],[name]])</f>
        <v xml:space="preserve"> 908876807  -CHRRB: Saving lives &amp; locating people</v>
      </c>
      <c r="D74" s="5">
        <v>42825</v>
      </c>
      <c r="E74" s="5">
        <v>43046</v>
      </c>
      <c r="F74" s="5">
        <v>43106</v>
      </c>
      <c r="G74" s="5" t="b">
        <f>EXACT(Table4[[#This Row],[created_at]],Table4[[#This Row],[launched_at]])</f>
        <v>0</v>
      </c>
      <c r="H74" s="3">
        <v>7</v>
      </c>
      <c r="I74" s="3" t="s">
        <v>18</v>
      </c>
      <c r="J74" s="3" t="str">
        <f>UPPER(Table4[[#This Row],[currency]])</f>
        <v>EUR</v>
      </c>
      <c r="K74" s="3">
        <v>1.16073242</v>
      </c>
      <c r="L74" s="3">
        <v>1197</v>
      </c>
      <c r="M74" s="23">
        <v>1389.39671</v>
      </c>
      <c r="N74" s="22">
        <v>1500000</v>
      </c>
      <c r="O74" s="3" t="s">
        <v>404</v>
      </c>
      <c r="P74" s="3" t="s">
        <v>303</v>
      </c>
      <c r="Q74" s="3" t="s">
        <v>518</v>
      </c>
      <c r="R74" s="3" t="s">
        <v>40</v>
      </c>
      <c r="S74" s="4" t="b">
        <v>0</v>
      </c>
      <c r="T74" s="3" t="s">
        <v>17</v>
      </c>
      <c r="U74" s="3">
        <f>VALUE(Table4[[#This Row],[usd_pledged]])</f>
        <v>1389.39671</v>
      </c>
      <c r="V74" s="12">
        <v>21465</v>
      </c>
      <c r="W74" t="str">
        <f>CONCATENATE(L74, " ", Table4[[#This Row],[Currency_CAP]], " ", PROPER("pledged"))</f>
        <v>1197 EUR Pledged</v>
      </c>
      <c r="X74" t="str">
        <f>LEFT(Table4[[#This Row],[state]],LEN(Table4[[#This Row],[state]])-7)</f>
        <v>South Holland</v>
      </c>
      <c r="Y74" t="str">
        <f>SUBSTITUTE(Table4[[#This Row],[Concat Names]],":","-")</f>
        <v xml:space="preserve"> 908876807  -CHRRB- Saving lives &amp; locating people</v>
      </c>
      <c r="Z74" t="str">
        <f t="shared" si="2"/>
        <v>908876807 -CHRRB- Saving lives &amp; locating people</v>
      </c>
      <c r="AA74">
        <f t="shared" si="3"/>
        <v>54</v>
      </c>
      <c r="AB74" t="str">
        <f>RIGHT(Table4[[#This Row],[source_url]],LEN(Table4[[#This Row],[source_url]])-AA74)</f>
        <v>logy/wearables</v>
      </c>
    </row>
    <row r="75" spans="1:28" x14ac:dyDescent="0.2">
      <c r="A75" s="7" t="s">
        <v>567</v>
      </c>
      <c r="B75" s="3" t="s">
        <v>86</v>
      </c>
      <c r="C75" s="3" t="str">
        <f>CONCATENATE(Table4[[#This Row],[id]], "-", Table4[[#This Row],[name]])</f>
        <v xml:space="preserve"> 624568186  -Hagic-The only stylish smart watch lasting up to 15 days (Canceled)</v>
      </c>
      <c r="D75" s="5">
        <v>42852</v>
      </c>
      <c r="E75" s="5">
        <v>42857</v>
      </c>
      <c r="F75" s="5">
        <v>42902</v>
      </c>
      <c r="G75" s="5" t="b">
        <f>EXACT(Table4[[#This Row],[created_at]],Table4[[#This Row],[launched_at]])</f>
        <v>0</v>
      </c>
      <c r="H75" s="3">
        <v>101</v>
      </c>
      <c r="I75" s="3" t="s">
        <v>15</v>
      </c>
      <c r="J75" s="3" t="str">
        <f>UPPER(Table4[[#This Row],[currency]])</f>
        <v>USD</v>
      </c>
      <c r="K75" s="3">
        <v>1</v>
      </c>
      <c r="L75" s="3">
        <v>17479.64</v>
      </c>
      <c r="M75" s="23">
        <v>17479.64</v>
      </c>
      <c r="N75" s="22">
        <v>50000</v>
      </c>
      <c r="O75" s="3" t="s">
        <v>338</v>
      </c>
      <c r="P75" s="3" t="s">
        <v>290</v>
      </c>
      <c r="Q75" s="3" t="s">
        <v>513</v>
      </c>
      <c r="R75" s="3" t="s">
        <v>40</v>
      </c>
      <c r="S75" s="4" t="b">
        <v>0</v>
      </c>
      <c r="T75" s="3" t="s">
        <v>24</v>
      </c>
      <c r="U75" s="3">
        <f>VALUE(Table4[[#This Row],[usd_pledged]])</f>
        <v>17479.64</v>
      </c>
      <c r="V75" s="12">
        <v>23848.4143</v>
      </c>
      <c r="W75" t="str">
        <f>CONCATENATE(L75, " ", Table4[[#This Row],[Currency_CAP]], " ", PROPER("pledged"))</f>
        <v>17479.64 USD Pledged</v>
      </c>
      <c r="X75" t="str">
        <f>LEFT(Table4[[#This Row],[state]],LEN(Table4[[#This Row],[state]])-7)</f>
        <v>CA</v>
      </c>
      <c r="Y75" t="str">
        <f>SUBSTITUTE(Table4[[#This Row],[Concat Names]],":","-")</f>
        <v xml:space="preserve"> 624568186  -Hagic-The only stylish smart watch lasting up to 15 days (Canceled)</v>
      </c>
      <c r="Z75" t="str">
        <f t="shared" si="2"/>
        <v>624568186 -Hagic-The only stylish smart watch lasting up to 15 days (Canceled)</v>
      </c>
      <c r="AA75">
        <f t="shared" si="3"/>
        <v>54</v>
      </c>
      <c r="AB75" t="str">
        <f>RIGHT(Table4[[#This Row],[source_url]],LEN(Table4[[#This Row],[source_url]])-AA75)</f>
        <v>logy/wearables</v>
      </c>
    </row>
    <row r="76" spans="1:28" x14ac:dyDescent="0.2">
      <c r="A76" s="7" t="s">
        <v>587</v>
      </c>
      <c r="B76" s="3" t="s">
        <v>122</v>
      </c>
      <c r="C76" s="3" t="str">
        <f>CONCATENATE(Table4[[#This Row],[id]], "-", Table4[[#This Row],[name]])</f>
        <v xml:space="preserve"> 1855974537  -Protect your health and travel in style..</v>
      </c>
      <c r="D76" s="5">
        <v>42857</v>
      </c>
      <c r="E76" s="5">
        <v>43077</v>
      </c>
      <c r="F76" s="5">
        <v>43107</v>
      </c>
      <c r="G76" s="5" t="b">
        <f>EXACT(Table4[[#This Row],[created_at]],Table4[[#This Row],[launched_at]])</f>
        <v>0</v>
      </c>
      <c r="H76" s="3">
        <v>113</v>
      </c>
      <c r="I76" s="3" t="s">
        <v>15</v>
      </c>
      <c r="J76" s="3" t="str">
        <f>UPPER(Table4[[#This Row],[currency]])</f>
        <v>USD</v>
      </c>
      <c r="K76" s="3">
        <v>1</v>
      </c>
      <c r="L76" s="3">
        <v>20159.5</v>
      </c>
      <c r="M76" s="23">
        <v>20159.5</v>
      </c>
      <c r="N76" s="22">
        <v>20000</v>
      </c>
      <c r="O76" s="3" t="s">
        <v>384</v>
      </c>
      <c r="P76" s="3" t="s">
        <v>316</v>
      </c>
      <c r="Q76" s="3" t="s">
        <v>513</v>
      </c>
      <c r="R76" s="3" t="s">
        <v>40</v>
      </c>
      <c r="S76" s="4" t="b">
        <v>0</v>
      </c>
      <c r="T76" s="3" t="s">
        <v>16</v>
      </c>
      <c r="U76" s="3">
        <f>VALUE(Table4[[#This Row],[usd_pledged]])</f>
        <v>20159.5</v>
      </c>
      <c r="V76" s="12">
        <v>24405.147099999998</v>
      </c>
      <c r="W76" t="str">
        <f>CONCATENATE(L76, " ", Table4[[#This Row],[Currency_CAP]], " ", PROPER("pledged"))</f>
        <v>20159.5 USD Pledged</v>
      </c>
      <c r="X76" t="str">
        <f>LEFT(Table4[[#This Row],[state]],LEN(Table4[[#This Row],[state]])-7)</f>
        <v>HI</v>
      </c>
      <c r="Y76" t="str">
        <f>SUBSTITUTE(Table4[[#This Row],[Concat Names]],":","-")</f>
        <v xml:space="preserve"> 1855974537  -Protect your health and travel in style..</v>
      </c>
      <c r="Z76" t="str">
        <f t="shared" si="2"/>
        <v>1855974537 -Protect your health and travel in style..</v>
      </c>
      <c r="AA76">
        <f t="shared" si="3"/>
        <v>54</v>
      </c>
      <c r="AB76" t="str">
        <f>RIGHT(Table4[[#This Row],[source_url]],LEN(Table4[[#This Row],[source_url]])-AA76)</f>
        <v>logy/wearables</v>
      </c>
    </row>
    <row r="77" spans="1:28" x14ac:dyDescent="0.2">
      <c r="A77" s="7" t="s">
        <v>548</v>
      </c>
      <c r="B77" s="3" t="s">
        <v>50</v>
      </c>
      <c r="C77" s="3" t="str">
        <f>CONCATENATE(Table4[[#This Row],[id]], "-", Table4[[#This Row],[name]])</f>
        <v xml:space="preserve"> 1314100597  -Smart Cambridge Mask: You &amp; Clean Air, Connected</v>
      </c>
      <c r="D77" s="5">
        <v>42864</v>
      </c>
      <c r="E77" s="5">
        <v>42885</v>
      </c>
      <c r="F77" s="5">
        <v>42915</v>
      </c>
      <c r="G77" s="5" t="b">
        <f>EXACT(Table4[[#This Row],[created_at]],Table4[[#This Row],[launched_at]])</f>
        <v>0</v>
      </c>
      <c r="H77" s="3">
        <v>322</v>
      </c>
      <c r="I77" s="3" t="s">
        <v>19</v>
      </c>
      <c r="J77" s="3" t="str">
        <f>UPPER(Table4[[#This Row],[currency]])</f>
        <v>GBP</v>
      </c>
      <c r="K77" s="3">
        <v>1.28183436</v>
      </c>
      <c r="L77" s="3">
        <v>33522</v>
      </c>
      <c r="M77" s="23">
        <v>42969.651400000002</v>
      </c>
      <c r="N77" s="22">
        <v>25000</v>
      </c>
      <c r="O77" s="3" t="s">
        <v>344</v>
      </c>
      <c r="P77" s="3" t="s">
        <v>295</v>
      </c>
      <c r="Q77" s="3" t="s">
        <v>515</v>
      </c>
      <c r="R77" s="3" t="s">
        <v>40</v>
      </c>
      <c r="S77" s="4" t="b">
        <v>0</v>
      </c>
      <c r="T77" s="3" t="s">
        <v>16</v>
      </c>
      <c r="U77" s="3">
        <f>VALUE(Table4[[#This Row],[usd_pledged]])</f>
        <v>42969.651400000002</v>
      </c>
      <c r="V77" s="12">
        <v>26452</v>
      </c>
      <c r="W77" t="str">
        <f>CONCATENATE(L77, " ", Table4[[#This Row],[Currency_CAP]], " ", PROPER("pledged"))</f>
        <v>33522 GBP Pledged</v>
      </c>
      <c r="X77" t="str">
        <f>LEFT(Table4[[#This Row],[state]],LEN(Table4[[#This Row],[state]])-7)</f>
        <v>England</v>
      </c>
      <c r="Y77" t="str">
        <f>SUBSTITUTE(Table4[[#This Row],[Concat Names]],":","-")</f>
        <v xml:space="preserve"> 1314100597  -Smart Cambridge Mask- You &amp; Clean Air, Connected</v>
      </c>
      <c r="Z77" t="str">
        <f t="shared" si="2"/>
        <v>1314100597 -Smart Cambridge Mask- You &amp; Clean Air, Connected</v>
      </c>
      <c r="AA77">
        <f t="shared" si="3"/>
        <v>54</v>
      </c>
      <c r="AB77" t="str">
        <f>RIGHT(Table4[[#This Row],[source_url]],LEN(Table4[[#This Row],[source_url]])-AA77)</f>
        <v>logy/wearables</v>
      </c>
    </row>
    <row r="78" spans="1:28" x14ac:dyDescent="0.2">
      <c r="A78" s="7" t="s">
        <v>554</v>
      </c>
      <c r="B78" s="3" t="s">
        <v>66</v>
      </c>
      <c r="C78" s="3" t="str">
        <f>CONCATENATE(Table4[[#This Row],[id]], "-", Table4[[#This Row],[name]])</f>
        <v xml:space="preserve"> 1500832192  -SoulCase (Solar Case for IPhone)</v>
      </c>
      <c r="D78" s="5">
        <v>42893</v>
      </c>
      <c r="E78" s="5">
        <v>42900</v>
      </c>
      <c r="F78" s="5">
        <v>42931</v>
      </c>
      <c r="G78" s="5" t="b">
        <f>EXACT(Table4[[#This Row],[created_at]],Table4[[#This Row],[launched_at]])</f>
        <v>0</v>
      </c>
      <c r="H78" s="3">
        <v>2</v>
      </c>
      <c r="I78" s="3" t="s">
        <v>30</v>
      </c>
      <c r="J78" s="3" t="str">
        <f>UPPER(Table4[[#This Row],[currency]])</f>
        <v>MXN</v>
      </c>
      <c r="K78" s="3">
        <v>5.5154830000000002E-2</v>
      </c>
      <c r="L78" s="3">
        <v>2116</v>
      </c>
      <c r="M78" s="23">
        <v>116.70762000000001</v>
      </c>
      <c r="N78" s="22">
        <v>37000</v>
      </c>
      <c r="O78" s="3" t="s">
        <v>403</v>
      </c>
      <c r="P78" s="3" t="s">
        <v>320</v>
      </c>
      <c r="Q78" s="3" t="s">
        <v>394</v>
      </c>
      <c r="R78" s="3" t="s">
        <v>40</v>
      </c>
      <c r="S78" s="4" t="b">
        <v>0</v>
      </c>
      <c r="T78" s="3" t="s">
        <v>17</v>
      </c>
      <c r="U78" s="3">
        <f>VALUE(Table4[[#This Row],[usd_pledged]])</f>
        <v>116.70762000000001</v>
      </c>
      <c r="V78" s="12">
        <v>27175</v>
      </c>
      <c r="W78" t="str">
        <f>CONCATENATE(L78, " ", Table4[[#This Row],[Currency_CAP]], " ", PROPER("pledged"))</f>
        <v>2116 MXN Pledged</v>
      </c>
      <c r="X78" t="str">
        <f>LEFT(Table4[[#This Row],[state]],LEN(Table4[[#This Row],[state]])-7)</f>
        <v>Distrito Federal</v>
      </c>
      <c r="Y78" t="str">
        <f>SUBSTITUTE(Table4[[#This Row],[Concat Names]],":","-")</f>
        <v xml:space="preserve"> 1500832192  -SoulCase (Solar Case for IPhone)</v>
      </c>
      <c r="Z78" t="str">
        <f t="shared" si="2"/>
        <v>1500832192 -SoulCase (Solar Case for IPhone)</v>
      </c>
      <c r="AA78">
        <f t="shared" si="3"/>
        <v>54</v>
      </c>
      <c r="AB78" t="str">
        <f>RIGHT(Table4[[#This Row],[source_url]],LEN(Table4[[#This Row],[source_url]])-AA78)</f>
        <v>logy/wearables</v>
      </c>
    </row>
    <row r="79" spans="1:28" x14ac:dyDescent="0.2">
      <c r="A79" s="7" t="s">
        <v>636</v>
      </c>
      <c r="B79" s="3" t="s">
        <v>272</v>
      </c>
      <c r="C79" s="3" t="str">
        <f>CONCATENATE(Table4[[#This Row],[id]], "-", Table4[[#This Row],[name]])</f>
        <v xml:space="preserve"> 1389138035  -8sense - start caring about your back health (Canceled)</v>
      </c>
      <c r="D79" s="5">
        <v>42902</v>
      </c>
      <c r="E79" s="5">
        <v>43032</v>
      </c>
      <c r="F79" s="5">
        <v>43062</v>
      </c>
      <c r="G79" s="5" t="b">
        <f>EXACT(Table4[[#This Row],[created_at]],Table4[[#This Row],[launched_at]])</f>
        <v>0</v>
      </c>
      <c r="H79" s="3">
        <v>157</v>
      </c>
      <c r="I79" s="3" t="s">
        <v>18</v>
      </c>
      <c r="J79" s="3" t="str">
        <f>UPPER(Table4[[#This Row],[currency]])</f>
        <v>EUR</v>
      </c>
      <c r="K79" s="3">
        <v>1.1769940000000001</v>
      </c>
      <c r="L79" s="3">
        <v>20735.150000000001</v>
      </c>
      <c r="M79" s="23">
        <v>24405.147099999998</v>
      </c>
      <c r="N79" s="22">
        <v>25000</v>
      </c>
      <c r="O79" s="3" t="s">
        <v>420</v>
      </c>
      <c r="P79" s="3" t="s">
        <v>314</v>
      </c>
      <c r="Q79" s="3" t="s">
        <v>514</v>
      </c>
      <c r="R79" s="3" t="s">
        <v>40</v>
      </c>
      <c r="S79" s="4" t="b">
        <v>0</v>
      </c>
      <c r="T79" s="3" t="s">
        <v>24</v>
      </c>
      <c r="U79" s="3">
        <f>VALUE(Table4[[#This Row],[usd_pledged]])</f>
        <v>24405.147099999998</v>
      </c>
      <c r="V79" s="12">
        <v>27839.568500000001</v>
      </c>
      <c r="W79" t="str">
        <f>CONCATENATE(L79, " ", Table4[[#This Row],[Currency_CAP]], " ", PROPER("pledged"))</f>
        <v>20735.15 EUR Pledged</v>
      </c>
      <c r="X79" t="str">
        <f>LEFT(Table4[[#This Row],[state]],LEN(Table4[[#This Row],[state]])-7)</f>
        <v>Bavaria</v>
      </c>
      <c r="Y79" t="str">
        <f>SUBSTITUTE(Table4[[#This Row],[Concat Names]],":","-")</f>
        <v xml:space="preserve"> 1389138035  -8sense - start caring about your back health (Canceled)</v>
      </c>
      <c r="Z79" t="str">
        <f t="shared" si="2"/>
        <v>1389138035 -8sense - start caring about your back health (Canceled)</v>
      </c>
      <c r="AA79">
        <f t="shared" si="3"/>
        <v>54</v>
      </c>
      <c r="AB79" t="str">
        <f>RIGHT(Table4[[#This Row],[source_url]],LEN(Table4[[#This Row],[source_url]])-AA79)</f>
        <v>logy/wearables</v>
      </c>
    </row>
    <row r="80" spans="1:28" x14ac:dyDescent="0.2">
      <c r="A80" s="7" t="s">
        <v>571</v>
      </c>
      <c r="B80" s="3" t="s">
        <v>90</v>
      </c>
      <c r="C80" s="3" t="str">
        <f>CONCATENATE(Table4[[#This Row],[id]], "-", Table4[[#This Row],[name]])</f>
        <v xml:space="preserve"> 2137418131  -Tadpole - Safety wristband worn by children of all ages (Canceled)</v>
      </c>
      <c r="D80" s="5">
        <v>42910</v>
      </c>
      <c r="E80" s="5">
        <v>42913</v>
      </c>
      <c r="F80" s="5">
        <v>42943</v>
      </c>
      <c r="G80" s="5" t="b">
        <f>EXACT(Table4[[#This Row],[created_at]],Table4[[#This Row],[launched_at]])</f>
        <v>0</v>
      </c>
      <c r="H80" s="3">
        <v>0</v>
      </c>
      <c r="I80" s="3" t="s">
        <v>15</v>
      </c>
      <c r="J80" s="3" t="str">
        <f>UPPER(Table4[[#This Row],[currency]])</f>
        <v>USD</v>
      </c>
      <c r="K80" s="3">
        <v>1</v>
      </c>
      <c r="L80" s="3">
        <v>0</v>
      </c>
      <c r="M80" s="23">
        <v>0</v>
      </c>
      <c r="N80" s="22">
        <v>10000</v>
      </c>
      <c r="O80" s="3" t="s">
        <v>389</v>
      </c>
      <c r="P80" s="3" t="s">
        <v>308</v>
      </c>
      <c r="Q80" s="3" t="s">
        <v>513</v>
      </c>
      <c r="R80" s="3" t="s">
        <v>40</v>
      </c>
      <c r="S80" s="4" t="b">
        <v>0</v>
      </c>
      <c r="T80" s="3" t="s">
        <v>24</v>
      </c>
      <c r="U80" s="3">
        <f>VALUE(Table4[[#This Row],[usd_pledged]])</f>
        <v>0</v>
      </c>
      <c r="V80" s="12">
        <v>31655</v>
      </c>
      <c r="W80" t="str">
        <f>CONCATENATE(L80, " ", Table4[[#This Row],[Currency_CAP]], " ", PROPER("pledged"))</f>
        <v>0 USD Pledged</v>
      </c>
      <c r="X80" t="str">
        <f>LEFT(Table4[[#This Row],[state]],LEN(Table4[[#This Row],[state]])-7)</f>
        <v>AL</v>
      </c>
      <c r="Y80" t="str">
        <f>SUBSTITUTE(Table4[[#This Row],[Concat Names]],":","-")</f>
        <v xml:space="preserve"> 2137418131  -Tadpole - Safety wristband worn by children of all ages (Canceled)</v>
      </c>
      <c r="Z80" t="str">
        <f t="shared" si="2"/>
        <v>2137418131 -Tadpole - Safety wristband worn by children of all ages (Canceled)</v>
      </c>
      <c r="AA80">
        <f t="shared" si="3"/>
        <v>54</v>
      </c>
      <c r="AB80" t="str">
        <f>RIGHT(Table4[[#This Row],[source_url]],LEN(Table4[[#This Row],[source_url]])-AA80)</f>
        <v>logy/wearables</v>
      </c>
    </row>
    <row r="81" spans="1:28" x14ac:dyDescent="0.2">
      <c r="A81" s="7" t="s">
        <v>612</v>
      </c>
      <c r="B81" s="3" t="s">
        <v>200</v>
      </c>
      <c r="C81" s="3" t="str">
        <f>CONCATENATE(Table4[[#This Row],[id]], "-", Table4[[#This Row],[name]])</f>
        <v xml:space="preserve"> 1252995380  -Taamz Band: Tame Your Appetite &amp; Alleviate Back Pain (Canceled)</v>
      </c>
      <c r="D81" s="5">
        <v>42954</v>
      </c>
      <c r="E81" s="5">
        <v>42975</v>
      </c>
      <c r="F81" s="5">
        <v>43005</v>
      </c>
      <c r="G81" s="5" t="b">
        <f>EXACT(Table4[[#This Row],[created_at]],Table4[[#This Row],[launched_at]])</f>
        <v>0</v>
      </c>
      <c r="H81" s="3">
        <v>10</v>
      </c>
      <c r="I81" s="3" t="s">
        <v>15</v>
      </c>
      <c r="J81" s="3" t="str">
        <f>UPPER(Table4[[#This Row],[currency]])</f>
        <v>USD</v>
      </c>
      <c r="K81" s="3">
        <v>1</v>
      </c>
      <c r="L81" s="3">
        <v>655</v>
      </c>
      <c r="M81" s="23">
        <v>655</v>
      </c>
      <c r="N81" s="22">
        <v>20000</v>
      </c>
      <c r="O81" s="3" t="s">
        <v>338</v>
      </c>
      <c r="P81" s="3" t="s">
        <v>290</v>
      </c>
      <c r="Q81" s="3" t="s">
        <v>513</v>
      </c>
      <c r="R81" s="3" t="s">
        <v>40</v>
      </c>
      <c r="S81" s="4" t="b">
        <v>0</v>
      </c>
      <c r="T81" s="3" t="s">
        <v>24</v>
      </c>
      <c r="U81" s="3">
        <f>VALUE(Table4[[#This Row],[usd_pledged]])</f>
        <v>655</v>
      </c>
      <c r="V81" s="12">
        <v>31866</v>
      </c>
      <c r="W81" t="str">
        <f>CONCATENATE(L81, " ", Table4[[#This Row],[Currency_CAP]], " ", PROPER("pledged"))</f>
        <v>655 USD Pledged</v>
      </c>
      <c r="X81" t="str">
        <f>LEFT(Table4[[#This Row],[state]],LEN(Table4[[#This Row],[state]])-7)</f>
        <v>CA</v>
      </c>
      <c r="Y81" t="str">
        <f>SUBSTITUTE(Table4[[#This Row],[Concat Names]],":","-")</f>
        <v xml:space="preserve"> 1252995380  -Taamz Band- Tame Your Appetite &amp; Alleviate Back Pain (Canceled)</v>
      </c>
      <c r="Z81" t="str">
        <f t="shared" si="2"/>
        <v>1252995380 -Taamz Band- Tame Your Appetite &amp; Alleviate Back Pain (Canceled)</v>
      </c>
      <c r="AA81">
        <f t="shared" si="3"/>
        <v>54</v>
      </c>
      <c r="AB81" t="str">
        <f>RIGHT(Table4[[#This Row],[source_url]],LEN(Table4[[#This Row],[source_url]])-AA81)</f>
        <v>logy/wearables</v>
      </c>
    </row>
    <row r="82" spans="1:28" x14ac:dyDescent="0.2">
      <c r="A82" s="7" t="s">
        <v>629</v>
      </c>
      <c r="B82" s="3" t="s">
        <v>261</v>
      </c>
      <c r="C82" s="3" t="str">
        <f>CONCATENATE(Table4[[#This Row],[id]], "-", Table4[[#This Row],[name]])</f>
        <v xml:space="preserve"> 1899175768  -A wearable sports light to make any cycle jersey illuminate! (Canceled)</v>
      </c>
      <c r="D82" s="5">
        <v>42957</v>
      </c>
      <c r="E82" s="5">
        <v>42968</v>
      </c>
      <c r="F82" s="5">
        <v>42979</v>
      </c>
      <c r="G82" s="5" t="b">
        <f>EXACT(Table4[[#This Row],[created_at]],Table4[[#This Row],[launched_at]])</f>
        <v>0</v>
      </c>
      <c r="H82" s="3">
        <v>15</v>
      </c>
      <c r="I82" s="3" t="s">
        <v>19</v>
      </c>
      <c r="J82" s="3" t="str">
        <f>UPPER(Table4[[#This Row],[currency]])</f>
        <v>GBP</v>
      </c>
      <c r="K82" s="3">
        <v>1.28716695</v>
      </c>
      <c r="L82" s="3">
        <v>599</v>
      </c>
      <c r="M82" s="23">
        <v>771.01300300000003</v>
      </c>
      <c r="N82" s="22">
        <v>800</v>
      </c>
      <c r="O82" s="3" t="s">
        <v>418</v>
      </c>
      <c r="P82" s="3" t="s">
        <v>295</v>
      </c>
      <c r="Q82" s="3" t="s">
        <v>515</v>
      </c>
      <c r="R82" s="3" t="s">
        <v>40</v>
      </c>
      <c r="S82" s="4" t="b">
        <v>0</v>
      </c>
      <c r="T82" s="3" t="s">
        <v>24</v>
      </c>
      <c r="U82" s="3">
        <f>VALUE(Table4[[#This Row],[usd_pledged]])</f>
        <v>771.01300300000003</v>
      </c>
      <c r="V82" s="12">
        <v>33351.6944</v>
      </c>
      <c r="W82" t="str">
        <f>CONCATENATE(L82, " ", Table4[[#This Row],[Currency_CAP]], " ", PROPER("pledged"))</f>
        <v>599 GBP Pledged</v>
      </c>
      <c r="X82" t="str">
        <f>LEFT(Table4[[#This Row],[state]],LEN(Table4[[#This Row],[state]])-7)</f>
        <v>England</v>
      </c>
      <c r="Y82" t="str">
        <f>SUBSTITUTE(Table4[[#This Row],[Concat Names]],":","-")</f>
        <v xml:space="preserve"> 1899175768  -A wearable sports light to make any cycle jersey illuminate! (Canceled)</v>
      </c>
      <c r="Z82" t="str">
        <f t="shared" si="2"/>
        <v>1899175768 -A wearable sports light to make any cycle jersey illuminate! (Canceled)</v>
      </c>
      <c r="AA82">
        <f t="shared" si="3"/>
        <v>54</v>
      </c>
      <c r="AB82" t="str">
        <f>RIGHT(Table4[[#This Row],[source_url]],LEN(Table4[[#This Row],[source_url]])-AA82)</f>
        <v>logy/wearables</v>
      </c>
    </row>
    <row r="83" spans="1:28" x14ac:dyDescent="0.2">
      <c r="A83" s="7" t="s">
        <v>607</v>
      </c>
      <c r="B83" s="3" t="s">
        <v>189</v>
      </c>
      <c r="C83" s="3" t="str">
        <f>CONCATENATE(Table4[[#This Row],[id]], "-", Table4[[#This Row],[name]])</f>
        <v xml:space="preserve"> 980288346  -Coolaid Animal Cooling and Recovery</v>
      </c>
      <c r="D83" s="5">
        <v>42967</v>
      </c>
      <c r="E83" s="5">
        <v>42977</v>
      </c>
      <c r="F83" s="5">
        <v>43007</v>
      </c>
      <c r="G83" s="5" t="b">
        <f>EXACT(Table4[[#This Row],[created_at]],Table4[[#This Row],[launched_at]])</f>
        <v>0</v>
      </c>
      <c r="H83" s="3">
        <v>0</v>
      </c>
      <c r="I83" s="3" t="s">
        <v>15</v>
      </c>
      <c r="J83" s="3" t="str">
        <f>UPPER(Table4[[#This Row],[currency]])</f>
        <v>USD</v>
      </c>
      <c r="K83" s="3">
        <v>1</v>
      </c>
      <c r="L83" s="3">
        <v>0</v>
      </c>
      <c r="M83" s="23">
        <v>0</v>
      </c>
      <c r="N83" s="22">
        <v>10000</v>
      </c>
      <c r="O83" s="3" t="s">
        <v>494</v>
      </c>
      <c r="P83" s="3" t="s">
        <v>291</v>
      </c>
      <c r="Q83" s="3" t="s">
        <v>513</v>
      </c>
      <c r="R83" s="3" t="s">
        <v>40</v>
      </c>
      <c r="S83" s="4" t="b">
        <v>0</v>
      </c>
      <c r="T83" s="3" t="s">
        <v>17</v>
      </c>
      <c r="U83" s="3">
        <f>VALUE(Table4[[#This Row],[usd_pledged]])</f>
        <v>0</v>
      </c>
      <c r="V83" s="12">
        <v>40388.559800000003</v>
      </c>
      <c r="W83" t="str">
        <f>CONCATENATE(L83, " ", Table4[[#This Row],[Currency_CAP]], " ", PROPER("pledged"))</f>
        <v>0 USD Pledged</v>
      </c>
      <c r="X83" t="str">
        <f>LEFT(Table4[[#This Row],[state]],LEN(Table4[[#This Row],[state]])-7)</f>
        <v>AZ</v>
      </c>
      <c r="Y83" t="str">
        <f>SUBSTITUTE(Table4[[#This Row],[Concat Names]],":","-")</f>
        <v xml:space="preserve"> 980288346  -Coolaid Animal Cooling and Recovery</v>
      </c>
      <c r="Z83" t="str">
        <f t="shared" si="2"/>
        <v>980288346 -Coolaid Animal Cooling and Recovery</v>
      </c>
      <c r="AA83">
        <f t="shared" si="3"/>
        <v>54</v>
      </c>
      <c r="AB83" t="str">
        <f>RIGHT(Table4[[#This Row],[source_url]],LEN(Table4[[#This Row],[source_url]])-AA83)</f>
        <v>logy/wearables</v>
      </c>
    </row>
    <row r="84" spans="1:28" x14ac:dyDescent="0.2">
      <c r="A84" s="7" t="s">
        <v>586</v>
      </c>
      <c r="B84" s="3" t="s">
        <v>121</v>
      </c>
      <c r="C84" s="3" t="str">
        <f>CONCATENATE(Table4[[#This Row],[id]], "-", Table4[[#This Row],[name]])</f>
        <v xml:space="preserve"> 1845530720  -AR for Everyone Augmented/Mixed/Virtual Reality Headset</v>
      </c>
      <c r="D84" s="5">
        <v>42994</v>
      </c>
      <c r="E84" s="5">
        <v>43057</v>
      </c>
      <c r="F84" s="5">
        <v>43117</v>
      </c>
      <c r="G84" s="5" t="b">
        <f>EXACT(Table4[[#This Row],[created_at]],Table4[[#This Row],[launched_at]])</f>
        <v>0</v>
      </c>
      <c r="H84" s="3">
        <v>136</v>
      </c>
      <c r="I84" s="3" t="s">
        <v>15</v>
      </c>
      <c r="J84" s="3" t="str">
        <f>UPPER(Table4[[#This Row],[currency]])</f>
        <v>USD</v>
      </c>
      <c r="K84" s="3">
        <v>1</v>
      </c>
      <c r="L84" s="3">
        <v>6831</v>
      </c>
      <c r="M84" s="23">
        <v>6831</v>
      </c>
      <c r="N84" s="22">
        <v>5000</v>
      </c>
      <c r="O84" s="3" t="s">
        <v>418</v>
      </c>
      <c r="P84" s="3" t="s">
        <v>298</v>
      </c>
      <c r="Q84" s="3" t="s">
        <v>513</v>
      </c>
      <c r="R84" s="3" t="s">
        <v>40</v>
      </c>
      <c r="S84" s="4" t="b">
        <v>0</v>
      </c>
      <c r="T84" s="3" t="s">
        <v>16</v>
      </c>
      <c r="U84" s="3">
        <f>VALUE(Table4[[#This Row],[usd_pledged]])</f>
        <v>6831</v>
      </c>
      <c r="V84" s="12">
        <v>42969.651400000002</v>
      </c>
      <c r="W84" t="str">
        <f>CONCATENATE(L84, " ", Table4[[#This Row],[Currency_CAP]], " ", PROPER("pledged"))</f>
        <v>6831 USD Pledged</v>
      </c>
      <c r="X84" t="str">
        <f>LEFT(Table4[[#This Row],[state]],LEN(Table4[[#This Row],[state]])-7)</f>
        <v>MA</v>
      </c>
      <c r="Y84" t="str">
        <f>SUBSTITUTE(Table4[[#This Row],[Concat Names]],":","-")</f>
        <v xml:space="preserve"> 1845530720  -AR for Everyone Augmented/Mixed/Virtual Reality Headset</v>
      </c>
      <c r="Z84" t="str">
        <f t="shared" si="2"/>
        <v>1845530720 -AR for Everyone Augmented/Mixed/Virtual Reality Headset</v>
      </c>
      <c r="AA84">
        <f t="shared" si="3"/>
        <v>54</v>
      </c>
      <c r="AB84" t="str">
        <f>RIGHT(Table4[[#This Row],[source_url]],LEN(Table4[[#This Row],[source_url]])-AA84)</f>
        <v>logy/wearables</v>
      </c>
    </row>
    <row r="85" spans="1:28" x14ac:dyDescent="0.2">
      <c r="A85" s="7" t="s">
        <v>581</v>
      </c>
      <c r="B85" s="3" t="s">
        <v>103</v>
      </c>
      <c r="C85" s="3" t="str">
        <f>CONCATENATE(Table4[[#This Row],[id]], "-", Table4[[#This Row],[name]])</f>
        <v xml:space="preserve"> 975760822  -STAPPONE - Track, Identify, And Fix Your Posture</v>
      </c>
      <c r="D85" s="5">
        <v>42999</v>
      </c>
      <c r="E85" s="5">
        <v>43153</v>
      </c>
      <c r="F85" s="5">
        <v>43195</v>
      </c>
      <c r="G85" s="5" t="b">
        <f>EXACT(Table4[[#This Row],[created_at]],Table4[[#This Row],[launched_at]])</f>
        <v>0</v>
      </c>
      <c r="H85" s="3">
        <v>190</v>
      </c>
      <c r="I85" s="3" t="s">
        <v>18</v>
      </c>
      <c r="J85" s="3" t="str">
        <f>UPPER(Table4[[#This Row],[currency]])</f>
        <v>EUR</v>
      </c>
      <c r="K85" s="3">
        <v>1.23220997</v>
      </c>
      <c r="L85" s="3">
        <v>42354</v>
      </c>
      <c r="M85" s="23">
        <v>52189.021099999998</v>
      </c>
      <c r="N85" s="22">
        <v>35000</v>
      </c>
      <c r="O85" s="3" t="s">
        <v>457</v>
      </c>
      <c r="P85" s="3" t="s">
        <v>330</v>
      </c>
      <c r="Q85" s="3" t="s">
        <v>520</v>
      </c>
      <c r="R85" s="3" t="s">
        <v>40</v>
      </c>
      <c r="S85" s="4" t="b">
        <v>0</v>
      </c>
      <c r="T85" s="3" t="s">
        <v>16</v>
      </c>
      <c r="U85" s="3">
        <f>VALUE(Table4[[#This Row],[usd_pledged]])</f>
        <v>52189.021099999998</v>
      </c>
      <c r="V85" s="12">
        <v>43547.589899999999</v>
      </c>
      <c r="W85" t="str">
        <f>CONCATENATE(L85, " ", Table4[[#This Row],[Currency_CAP]], " ", PROPER("pledged"))</f>
        <v>42354 EUR Pledged</v>
      </c>
      <c r="X85" t="str">
        <f>LEFT(Table4[[#This Row],[state]],LEN(Table4[[#This Row],[state]])-7)</f>
        <v>Lower Austria</v>
      </c>
      <c r="Y85" t="str">
        <f>SUBSTITUTE(Table4[[#This Row],[Concat Names]],":","-")</f>
        <v xml:space="preserve"> 975760822  -STAPPONE - Track, Identify, And Fix Your Posture</v>
      </c>
      <c r="Z85" t="str">
        <f t="shared" si="2"/>
        <v>975760822 -STAPPONE - Track, Identify, And Fix Your Posture</v>
      </c>
      <c r="AA85">
        <f t="shared" si="3"/>
        <v>54</v>
      </c>
      <c r="AB85" t="str">
        <f>RIGHT(Table4[[#This Row],[source_url]],LEN(Table4[[#This Row],[source_url]])-AA85)</f>
        <v>logy/wearables</v>
      </c>
    </row>
    <row r="86" spans="1:28" x14ac:dyDescent="0.2">
      <c r="A86" s="7" t="s">
        <v>611</v>
      </c>
      <c r="B86" s="3" t="s">
        <v>199</v>
      </c>
      <c r="C86" s="3" t="str">
        <f>CONCATENATE(Table4[[#This Row],[id]], "-", Table4[[#This Row],[name]])</f>
        <v xml:space="preserve"> 143712803  -In-store Retail Shopping using Smartwatch, Phone or Camera</v>
      </c>
      <c r="D86" s="5">
        <v>43042</v>
      </c>
      <c r="E86" s="5">
        <v>43130</v>
      </c>
      <c r="F86" s="5">
        <v>43160</v>
      </c>
      <c r="G86" s="5" t="b">
        <f>EXACT(Table4[[#This Row],[created_at]],Table4[[#This Row],[launched_at]])</f>
        <v>0</v>
      </c>
      <c r="H86" s="3">
        <v>48</v>
      </c>
      <c r="I86" s="3" t="s">
        <v>19</v>
      </c>
      <c r="J86" s="3" t="str">
        <f>UPPER(Table4[[#This Row],[currency]])</f>
        <v>GBP</v>
      </c>
      <c r="K86" s="3">
        <v>1.4138192300000001</v>
      </c>
      <c r="L86" s="3">
        <v>28566.99</v>
      </c>
      <c r="M86" s="23">
        <v>40388.559800000003</v>
      </c>
      <c r="N86" s="22">
        <v>42000</v>
      </c>
      <c r="O86" s="3" t="s">
        <v>344</v>
      </c>
      <c r="P86" s="3" t="s">
        <v>295</v>
      </c>
      <c r="Q86" s="3" t="s">
        <v>515</v>
      </c>
      <c r="R86" s="3" t="s">
        <v>40</v>
      </c>
      <c r="S86" s="4" t="b">
        <v>0</v>
      </c>
      <c r="T86" s="3" t="s">
        <v>17</v>
      </c>
      <c r="U86" s="3">
        <f>VALUE(Table4[[#This Row],[usd_pledged]])</f>
        <v>40388.559800000003</v>
      </c>
      <c r="V86" s="12">
        <v>52189.021099999998</v>
      </c>
      <c r="W86" t="str">
        <f>CONCATENATE(L86, " ", Table4[[#This Row],[Currency_CAP]], " ", PROPER("pledged"))</f>
        <v>28566.99 GBP Pledged</v>
      </c>
      <c r="X86" t="str">
        <f>LEFT(Table4[[#This Row],[state]],LEN(Table4[[#This Row],[state]])-7)</f>
        <v>England</v>
      </c>
      <c r="Y86" t="str">
        <f>SUBSTITUTE(Table4[[#This Row],[Concat Names]],":","-")</f>
        <v xml:space="preserve"> 143712803  -In-store Retail Shopping using Smartwatch, Phone or Camera</v>
      </c>
      <c r="Z86" t="str">
        <f t="shared" si="2"/>
        <v>143712803 -In-store Retail Shopping using Smartwatch, Phone or Camera</v>
      </c>
      <c r="AA86">
        <f t="shared" si="3"/>
        <v>54</v>
      </c>
      <c r="AB86" t="str">
        <f>RIGHT(Table4[[#This Row],[source_url]],LEN(Table4[[#This Row],[source_url]])-AA86)</f>
        <v>logy/wearables</v>
      </c>
    </row>
    <row r="87" spans="1:28" x14ac:dyDescent="0.2">
      <c r="A87" s="7" t="s">
        <v>635</v>
      </c>
      <c r="B87" s="3" t="s">
        <v>271</v>
      </c>
      <c r="C87" s="3" t="str">
        <f>CONCATENATE(Table4[[#This Row],[id]], "-", Table4[[#This Row],[name]])</f>
        <v xml:space="preserve"> 942154650  -LIVION</v>
      </c>
      <c r="D87" s="5">
        <v>43078</v>
      </c>
      <c r="E87" s="5">
        <v>43091</v>
      </c>
      <c r="F87" s="5">
        <v>43122</v>
      </c>
      <c r="G87" s="5" t="b">
        <f>EXACT(Table4[[#This Row],[created_at]],Table4[[#This Row],[launched_at]])</f>
        <v>0</v>
      </c>
      <c r="H87" s="3">
        <v>46</v>
      </c>
      <c r="I87" s="3" t="s">
        <v>30</v>
      </c>
      <c r="J87" s="3" t="str">
        <f>UPPER(Table4[[#This Row],[currency]])</f>
        <v>MXN</v>
      </c>
      <c r="K87" s="3">
        <v>5.198055E-2</v>
      </c>
      <c r="L87" s="3">
        <v>14150</v>
      </c>
      <c r="M87" s="23">
        <v>735.52478299999996</v>
      </c>
      <c r="N87" s="22">
        <v>110000</v>
      </c>
      <c r="O87" s="3" t="s">
        <v>433</v>
      </c>
      <c r="P87" s="3" t="s">
        <v>326</v>
      </c>
      <c r="Q87" s="3" t="s">
        <v>394</v>
      </c>
      <c r="R87" s="3" t="s">
        <v>40</v>
      </c>
      <c r="S87" s="4" t="b">
        <v>0</v>
      </c>
      <c r="T87" s="3" t="s">
        <v>17</v>
      </c>
      <c r="U87" s="3">
        <f>VALUE(Table4[[#This Row],[usd_pledged]])</f>
        <v>735.52478299999996</v>
      </c>
      <c r="V87" s="12">
        <v>72964</v>
      </c>
      <c r="W87" t="str">
        <f>CONCATENATE(L87, " ", Table4[[#This Row],[Currency_CAP]], " ", PROPER("pledged"))</f>
        <v>14150 MXN Pledged</v>
      </c>
      <c r="X87" t="str">
        <f>LEFT(Table4[[#This Row],[state]],LEN(Table4[[#This Row],[state]])-7)</f>
        <v>Veracruz-Llave</v>
      </c>
      <c r="Y87" t="str">
        <f>SUBSTITUTE(Table4[[#This Row],[Concat Names]],":","-")</f>
        <v xml:space="preserve"> 942154650  -LIVION</v>
      </c>
      <c r="Z87" t="str">
        <f t="shared" si="2"/>
        <v>942154650 -LIVION</v>
      </c>
      <c r="AA87">
        <f t="shared" si="3"/>
        <v>54</v>
      </c>
      <c r="AB87" t="str">
        <f>RIGHT(Table4[[#This Row],[source_url]],LEN(Table4[[#This Row],[source_url]])-AA87)</f>
        <v>logy/wearables</v>
      </c>
    </row>
    <row r="88" spans="1:28" x14ac:dyDescent="0.2">
      <c r="A88" s="7" t="s">
        <v>624</v>
      </c>
      <c r="B88" s="3" t="s">
        <v>252</v>
      </c>
      <c r="C88" s="3" t="str">
        <f>CONCATENATE(Table4[[#This Row],[id]], "-", Table4[[#This Row],[name]])</f>
        <v xml:space="preserve"> 2095534394  -Ekinox One - EMS Suit for horses</v>
      </c>
      <c r="D88" s="5">
        <v>43125</v>
      </c>
      <c r="E88" s="5">
        <v>43150</v>
      </c>
      <c r="F88" s="5">
        <v>43180</v>
      </c>
      <c r="G88" s="5" t="b">
        <f>EXACT(Table4[[#This Row],[created_at]],Table4[[#This Row],[launched_at]])</f>
        <v>0</v>
      </c>
      <c r="H88" s="3">
        <v>17</v>
      </c>
      <c r="I88" s="3" t="s">
        <v>18</v>
      </c>
      <c r="J88" s="3" t="str">
        <f>UPPER(Table4[[#This Row],[currency]])</f>
        <v>EUR</v>
      </c>
      <c r="K88" s="3">
        <v>1.2407486700000001</v>
      </c>
      <c r="L88" s="3">
        <v>2098</v>
      </c>
      <c r="M88" s="23">
        <v>2603.0907099999999</v>
      </c>
      <c r="N88" s="22">
        <v>20000</v>
      </c>
      <c r="O88" s="3" t="s">
        <v>366</v>
      </c>
      <c r="P88" s="3" t="s">
        <v>310</v>
      </c>
      <c r="Q88" s="3" t="s">
        <v>489</v>
      </c>
      <c r="R88" s="3" t="s">
        <v>40</v>
      </c>
      <c r="S88" s="4" t="b">
        <v>0</v>
      </c>
      <c r="T88" s="3" t="s">
        <v>17</v>
      </c>
      <c r="U88" s="3">
        <f>VALUE(Table4[[#This Row],[usd_pledged]])</f>
        <v>2603.0907099999999</v>
      </c>
      <c r="V88" s="12">
        <v>85889</v>
      </c>
      <c r="W88" t="str">
        <f>CONCATENATE(L88, " ", Table4[[#This Row],[Currency_CAP]], " ", PROPER("pledged"))</f>
        <v>2098 EUR Pledged</v>
      </c>
      <c r="X88" t="str">
        <f>LEFT(Table4[[#This Row],[state]],LEN(Table4[[#This Row],[state]])-7)</f>
        <v>Catalonia</v>
      </c>
      <c r="Y88" t="str">
        <f>SUBSTITUTE(Table4[[#This Row],[Concat Names]],":","-")</f>
        <v xml:space="preserve"> 2095534394  -Ekinox One - EMS Suit for horses</v>
      </c>
      <c r="Z88" t="str">
        <f t="shared" si="2"/>
        <v>2095534394 -Ekinox One - EMS Suit for horses</v>
      </c>
      <c r="AA88">
        <f t="shared" si="3"/>
        <v>54</v>
      </c>
      <c r="AB88" t="str">
        <f>RIGHT(Table4[[#This Row],[source_url]],LEN(Table4[[#This Row],[source_url]])-AA88)</f>
        <v>logy/wearables</v>
      </c>
    </row>
    <row r="89" spans="1:28" x14ac:dyDescent="0.2">
      <c r="A89" s="7" t="s">
        <v>625</v>
      </c>
      <c r="B89" s="3" t="s">
        <v>255</v>
      </c>
      <c r="C89" s="3" t="str">
        <f>CONCATENATE(Table4[[#This Row],[id]], "-", Table4[[#This Row],[name]])</f>
        <v xml:space="preserve"> 157946672  -Stop the Traffic</v>
      </c>
      <c r="D89" s="5">
        <v>43152</v>
      </c>
      <c r="E89" s="5">
        <v>43181</v>
      </c>
      <c r="F89" s="5">
        <v>43211</v>
      </c>
      <c r="G89" s="5" t="b">
        <f>EXACT(Table4[[#This Row],[created_at]],Table4[[#This Row],[launched_at]])</f>
        <v>0</v>
      </c>
      <c r="H89" s="3">
        <v>1</v>
      </c>
      <c r="I89" s="3" t="s">
        <v>15</v>
      </c>
      <c r="J89" s="3" t="str">
        <f>UPPER(Table4[[#This Row],[currency]])</f>
        <v>USD</v>
      </c>
      <c r="K89" s="3">
        <v>1</v>
      </c>
      <c r="L89" s="3">
        <v>20</v>
      </c>
      <c r="M89" s="23">
        <v>20</v>
      </c>
      <c r="N89" s="22">
        <v>10000</v>
      </c>
      <c r="O89" s="3" t="s">
        <v>382</v>
      </c>
      <c r="P89" s="3" t="s">
        <v>293</v>
      </c>
      <c r="Q89" s="3" t="s">
        <v>513</v>
      </c>
      <c r="R89" s="3" t="s">
        <v>40</v>
      </c>
      <c r="S89" s="4" t="b">
        <v>0</v>
      </c>
      <c r="T89" s="3" t="s">
        <v>17</v>
      </c>
      <c r="U89" s="3">
        <f>VALUE(Table4[[#This Row],[usd_pledged]])</f>
        <v>20</v>
      </c>
      <c r="V89" s="12">
        <v>86116.121499999994</v>
      </c>
      <c r="W89" t="str">
        <f>CONCATENATE(L89, " ", Table4[[#This Row],[Currency_CAP]], " ", PROPER("pledged"))</f>
        <v>20 USD Pledged</v>
      </c>
      <c r="X89" t="str">
        <f>LEFT(Table4[[#This Row],[state]],LEN(Table4[[#This Row],[state]])-7)</f>
        <v>TX</v>
      </c>
      <c r="Y89" t="str">
        <f>SUBSTITUTE(Table4[[#This Row],[Concat Names]],":","-")</f>
        <v xml:space="preserve"> 157946672  -Stop the Traffic</v>
      </c>
      <c r="Z89" t="str">
        <f t="shared" si="2"/>
        <v>157946672 -Stop the Traffic</v>
      </c>
      <c r="AA89">
        <f t="shared" si="3"/>
        <v>54</v>
      </c>
      <c r="AB89" t="str">
        <f>RIGHT(Table4[[#This Row],[source_url]],LEN(Table4[[#This Row],[source_url]])-AA89)</f>
        <v>logy/wearables</v>
      </c>
    </row>
    <row r="90" spans="1:28" x14ac:dyDescent="0.2">
      <c r="A90" s="7" t="s">
        <v>609</v>
      </c>
      <c r="B90" s="3" t="s">
        <v>196</v>
      </c>
      <c r="C90" s="3" t="str">
        <f>CONCATENATE(Table4[[#This Row],[id]], "-", Table4[[#This Row],[name]])</f>
        <v xml:space="preserve"> 1607978064  -Kisen Chest Plate</v>
      </c>
      <c r="D90" s="5">
        <v>43156</v>
      </c>
      <c r="E90" s="5">
        <v>43166</v>
      </c>
      <c r="F90" s="5">
        <v>43196</v>
      </c>
      <c r="G90" s="5" t="b">
        <f>EXACT(Table4[[#This Row],[created_at]],Table4[[#This Row],[launched_at]])</f>
        <v>0</v>
      </c>
      <c r="H90" s="3">
        <v>2</v>
      </c>
      <c r="I90" s="3" t="s">
        <v>22</v>
      </c>
      <c r="J90" s="3" t="str">
        <f>UPPER(Table4[[#This Row],[currency]])</f>
        <v>CAD</v>
      </c>
      <c r="K90" s="3">
        <v>0.77533023000000001</v>
      </c>
      <c r="L90" s="3">
        <v>34</v>
      </c>
      <c r="M90" s="23">
        <v>26.361227800000002</v>
      </c>
      <c r="N90" s="22">
        <v>15000</v>
      </c>
      <c r="O90" s="3" t="s">
        <v>364</v>
      </c>
      <c r="P90" s="3" t="s">
        <v>309</v>
      </c>
      <c r="Q90" s="3" t="s">
        <v>517</v>
      </c>
      <c r="R90" s="3" t="s">
        <v>40</v>
      </c>
      <c r="S90" s="4" t="b">
        <v>0</v>
      </c>
      <c r="T90" s="3" t="s">
        <v>17</v>
      </c>
      <c r="U90" s="3">
        <f>VALUE(Table4[[#This Row],[usd_pledged]])</f>
        <v>26.361227800000002</v>
      </c>
      <c r="V90" s="12">
        <v>90584</v>
      </c>
      <c r="W90" t="str">
        <f>CONCATENATE(L90, " ", Table4[[#This Row],[Currency_CAP]], " ", PROPER("pledged"))</f>
        <v>34 CAD Pledged</v>
      </c>
      <c r="X90" t="str">
        <f>LEFT(Table4[[#This Row],[state]],LEN(Table4[[#This Row],[state]])-7)</f>
        <v>QC</v>
      </c>
      <c r="Y90" t="str">
        <f>SUBSTITUTE(Table4[[#This Row],[Concat Names]],":","-")</f>
        <v xml:space="preserve"> 1607978064  -Kisen Chest Plate</v>
      </c>
      <c r="Z90" t="str">
        <f t="shared" si="2"/>
        <v>1607978064 -Kisen Chest Plate</v>
      </c>
      <c r="AA90">
        <f t="shared" si="3"/>
        <v>54</v>
      </c>
      <c r="AB90" t="str">
        <f>RIGHT(Table4[[#This Row],[source_url]],LEN(Table4[[#This Row],[source_url]])-AA90)</f>
        <v>logy/wearables</v>
      </c>
    </row>
    <row r="91" spans="1:28" x14ac:dyDescent="0.2">
      <c r="A91" s="7" t="s">
        <v>590</v>
      </c>
      <c r="B91" s="3" t="s">
        <v>169</v>
      </c>
      <c r="C91" s="3" t="str">
        <f>CONCATENATE(Table4[[#This Row],[id]], "-", Table4[[#This Row],[name]])</f>
        <v xml:space="preserve"> 786352460  -EDDY ‚Äì the World‚Äôs unique chiral fitness bottles.</v>
      </c>
      <c r="D91" s="5">
        <v>43203</v>
      </c>
      <c r="E91" s="5">
        <v>43214</v>
      </c>
      <c r="F91" s="5">
        <v>43249</v>
      </c>
      <c r="G91" s="5" t="b">
        <f>EXACT(Table4[[#This Row],[created_at]],Table4[[#This Row],[launched_at]])</f>
        <v>0</v>
      </c>
      <c r="H91" s="3">
        <v>62</v>
      </c>
      <c r="I91" s="3" t="s">
        <v>15</v>
      </c>
      <c r="J91" s="3" t="str">
        <f>UPPER(Table4[[#This Row],[currency]])</f>
        <v>USD</v>
      </c>
      <c r="K91" s="3">
        <v>1</v>
      </c>
      <c r="L91" s="3">
        <v>4749</v>
      </c>
      <c r="M91" s="23">
        <v>4749</v>
      </c>
      <c r="N91" s="22">
        <v>20000</v>
      </c>
      <c r="O91" s="3" t="s">
        <v>491</v>
      </c>
      <c r="P91" s="3" t="s">
        <v>333</v>
      </c>
      <c r="Q91" s="3" t="s">
        <v>521</v>
      </c>
      <c r="R91" s="3" t="s">
        <v>40</v>
      </c>
      <c r="S91" s="4" t="b">
        <v>0</v>
      </c>
      <c r="T91" s="3" t="s">
        <v>17</v>
      </c>
      <c r="U91" s="3">
        <f>VALUE(Table4[[#This Row],[usd_pledged]])</f>
        <v>4749</v>
      </c>
      <c r="V91" s="12">
        <v>104641.91899999999</v>
      </c>
      <c r="W91" t="str">
        <f>CONCATENATE(L91, " ", Table4[[#This Row],[Currency_CAP]], " ", PROPER("pledged"))</f>
        <v>4749 USD Pledged</v>
      </c>
      <c r="X91" t="str">
        <f>LEFT(Table4[[#This Row],[state]],LEN(Table4[[#This Row],[state]])-7)</f>
        <v>Olomouc Region</v>
      </c>
      <c r="Y91" t="str">
        <f>SUBSTITUTE(Table4[[#This Row],[Concat Names]],":","-")</f>
        <v xml:space="preserve"> 786352460  -EDDY ‚Äì the World‚Äôs unique chiral fitness bottles.</v>
      </c>
      <c r="Z91" t="str">
        <f t="shared" si="2"/>
        <v>786352460 -EDDY ‚Äì the World‚Äôs unique chiral fitness bottles.</v>
      </c>
      <c r="AA91">
        <f t="shared" si="3"/>
        <v>54</v>
      </c>
      <c r="AB91" t="str">
        <f>RIGHT(Table4[[#This Row],[source_url]],LEN(Table4[[#This Row],[source_url]])-AA91)</f>
        <v>logy/wearables</v>
      </c>
    </row>
    <row r="92" spans="1:28" x14ac:dyDescent="0.2">
      <c r="A92" s="7" t="s">
        <v>583</v>
      </c>
      <c r="B92" s="3" t="s">
        <v>105</v>
      </c>
      <c r="C92" s="3" t="str">
        <f>CONCATENATE(Table4[[#This Row],[id]], "-", Table4[[#This Row],[name]])</f>
        <v xml:space="preserve"> 47413364  -ZaanU Headphones- The world's first luxury earbud enhancers</v>
      </c>
      <c r="D92" s="5">
        <v>43204</v>
      </c>
      <c r="E92" s="5">
        <v>43214</v>
      </c>
      <c r="F92" s="5">
        <v>43252</v>
      </c>
      <c r="G92" s="5" t="b">
        <f>EXACT(Table4[[#This Row],[created_at]],Table4[[#This Row],[launched_at]])</f>
        <v>0</v>
      </c>
      <c r="H92" s="3">
        <v>83</v>
      </c>
      <c r="I92" s="3" t="s">
        <v>15</v>
      </c>
      <c r="J92" s="3" t="str">
        <f>UPPER(Table4[[#This Row],[currency]])</f>
        <v>USD</v>
      </c>
      <c r="K92" s="3">
        <v>1</v>
      </c>
      <c r="L92" s="3">
        <v>10588</v>
      </c>
      <c r="M92" s="23">
        <v>10588</v>
      </c>
      <c r="N92" s="22">
        <v>10000</v>
      </c>
      <c r="O92" s="3" t="s">
        <v>377</v>
      </c>
      <c r="P92" s="3" t="s">
        <v>312</v>
      </c>
      <c r="Q92" s="3" t="s">
        <v>513</v>
      </c>
      <c r="R92" s="3" t="s">
        <v>40</v>
      </c>
      <c r="S92" s="4" t="b">
        <v>0</v>
      </c>
      <c r="T92" s="3" t="s">
        <v>16</v>
      </c>
      <c r="U92" s="3">
        <f>VALUE(Table4[[#This Row],[usd_pledged]])</f>
        <v>10588</v>
      </c>
      <c r="V92" s="12">
        <v>107511.9</v>
      </c>
      <c r="W92" t="str">
        <f>CONCATENATE(L92, " ", Table4[[#This Row],[Currency_CAP]], " ", PROPER("pledged"))</f>
        <v>10588 USD Pledged</v>
      </c>
      <c r="X92" t="str">
        <f>LEFT(Table4[[#This Row],[state]],LEN(Table4[[#This Row],[state]])-7)</f>
        <v>DC</v>
      </c>
      <c r="Y92" t="str">
        <f>SUBSTITUTE(Table4[[#This Row],[Concat Names]],":","-")</f>
        <v xml:space="preserve"> 47413364  -ZaanU Headphones- The world's first luxury earbud enhancers</v>
      </c>
      <c r="Z92" t="str">
        <f t="shared" si="2"/>
        <v>47413364 -ZaanU Headphones- The world's first luxury earbud enhancers</v>
      </c>
      <c r="AA92">
        <f t="shared" si="3"/>
        <v>54</v>
      </c>
      <c r="AB92" t="str">
        <f>RIGHT(Table4[[#This Row],[source_url]],LEN(Table4[[#This Row],[source_url]])-AA92)</f>
        <v>logy/wearables</v>
      </c>
    </row>
    <row r="93" spans="1:28" x14ac:dyDescent="0.2">
      <c r="A93" s="7" t="s">
        <v>606</v>
      </c>
      <c r="B93" s="3" t="s">
        <v>188</v>
      </c>
      <c r="C93" s="3" t="str">
        <f>CONCATENATE(Table4[[#This Row],[id]], "-", Table4[[#This Row],[name]])</f>
        <v xml:space="preserve"> 1188164720  -AirPod catcher and a magnetic case for Apple ear buds (Canceled)</v>
      </c>
      <c r="D93" s="5">
        <v>43282</v>
      </c>
      <c r="E93" s="5">
        <v>43283</v>
      </c>
      <c r="F93" s="5">
        <v>43313</v>
      </c>
      <c r="G93" s="5" t="b">
        <f>EXACT(Table4[[#This Row],[created_at]],Table4[[#This Row],[launched_at]])</f>
        <v>0</v>
      </c>
      <c r="H93" s="3">
        <v>5</v>
      </c>
      <c r="I93" s="3" t="s">
        <v>15</v>
      </c>
      <c r="J93" s="3" t="str">
        <f>UPPER(Table4[[#This Row],[currency]])</f>
        <v>USD</v>
      </c>
      <c r="K93" s="3">
        <v>1</v>
      </c>
      <c r="L93" s="3">
        <v>140</v>
      </c>
      <c r="M93" s="23">
        <v>140</v>
      </c>
      <c r="N93" s="22">
        <v>20000</v>
      </c>
      <c r="O93" s="3" t="s">
        <v>476</v>
      </c>
      <c r="P93" s="3" t="s">
        <v>302</v>
      </c>
      <c r="Q93" s="3" t="s">
        <v>513</v>
      </c>
      <c r="R93" s="3" t="s">
        <v>40</v>
      </c>
      <c r="S93" s="4" t="b">
        <v>0</v>
      </c>
      <c r="T93" s="3" t="s">
        <v>24</v>
      </c>
      <c r="U93" s="3">
        <f>VALUE(Table4[[#This Row],[usd_pledged]])</f>
        <v>140</v>
      </c>
      <c r="V93" s="12">
        <v>117583</v>
      </c>
      <c r="W93" t="str">
        <f>CONCATENATE(L93, " ", Table4[[#This Row],[Currency_CAP]], " ", PROPER("pledged"))</f>
        <v>140 USD Pledged</v>
      </c>
      <c r="X93" t="str">
        <f>LEFT(Table4[[#This Row],[state]],LEN(Table4[[#This Row],[state]])-7)</f>
        <v>LA</v>
      </c>
      <c r="Y93" t="str">
        <f>SUBSTITUTE(Table4[[#This Row],[Concat Names]],":","-")</f>
        <v xml:space="preserve"> 1188164720  -AirPod catcher and a magnetic case for Apple ear buds (Canceled)</v>
      </c>
      <c r="Z93" t="str">
        <f t="shared" si="2"/>
        <v>1188164720 -AirPod catcher and a magnetic case for Apple ear buds (Canceled)</v>
      </c>
      <c r="AA93">
        <f t="shared" si="3"/>
        <v>54</v>
      </c>
      <c r="AB93" t="str">
        <f>RIGHT(Table4[[#This Row],[source_url]],LEN(Table4[[#This Row],[source_url]])-AA93)</f>
        <v>logy/wearables</v>
      </c>
    </row>
    <row r="94" spans="1:28" x14ac:dyDescent="0.2">
      <c r="A94" s="7" t="s">
        <v>579</v>
      </c>
      <c r="B94" s="3" t="s">
        <v>101</v>
      </c>
      <c r="C94" s="3" t="str">
        <f>CONCATENATE(Table4[[#This Row],[id]], "-", Table4[[#This Row],[name]])</f>
        <v xml:space="preserve"> 307553844  -Anti-pollution Wearable Air Filter (Relaunch)</v>
      </c>
      <c r="D94" s="5">
        <v>43295</v>
      </c>
      <c r="E94" s="5">
        <v>43298</v>
      </c>
      <c r="F94" s="5">
        <v>43310</v>
      </c>
      <c r="G94" s="5" t="b">
        <f>EXACT(Table4[[#This Row],[created_at]],Table4[[#This Row],[launched_at]])</f>
        <v>0</v>
      </c>
      <c r="H94" s="3">
        <v>14</v>
      </c>
      <c r="I94" s="3" t="s">
        <v>15</v>
      </c>
      <c r="J94" s="3" t="str">
        <f>UPPER(Table4[[#This Row],[currency]])</f>
        <v>USD</v>
      </c>
      <c r="K94" s="3">
        <v>1</v>
      </c>
      <c r="L94" s="3">
        <v>751</v>
      </c>
      <c r="M94" s="23">
        <v>751</v>
      </c>
      <c r="N94" s="22">
        <v>500</v>
      </c>
      <c r="O94" s="3" t="s">
        <v>352</v>
      </c>
      <c r="P94" s="3" t="s">
        <v>299</v>
      </c>
      <c r="Q94" s="3" t="s">
        <v>513</v>
      </c>
      <c r="R94" s="3" t="s">
        <v>40</v>
      </c>
      <c r="S94" s="4" t="b">
        <v>0</v>
      </c>
      <c r="T94" s="3" t="s">
        <v>16</v>
      </c>
      <c r="U94" s="3">
        <f>VALUE(Table4[[#This Row],[usd_pledged]])</f>
        <v>751</v>
      </c>
      <c r="V94" s="12">
        <v>123817.49</v>
      </c>
      <c r="W94" t="str">
        <f>CONCATENATE(L94, " ", Table4[[#This Row],[Currency_CAP]], " ", PROPER("pledged"))</f>
        <v>751 USD Pledged</v>
      </c>
      <c r="X94" t="str">
        <f>LEFT(Table4[[#This Row],[state]],LEN(Table4[[#This Row],[state]])-7)</f>
        <v>NY</v>
      </c>
      <c r="Y94" t="str">
        <f>SUBSTITUTE(Table4[[#This Row],[Concat Names]],":","-")</f>
        <v xml:space="preserve"> 307553844  -Anti-pollution Wearable Air Filter (Relaunch)</v>
      </c>
      <c r="Z94" t="str">
        <f t="shared" si="2"/>
        <v>307553844 -Anti-pollution Wearable Air Filter (Relaunch)</v>
      </c>
      <c r="AA94">
        <f t="shared" si="3"/>
        <v>54</v>
      </c>
      <c r="AB94" t="str">
        <f>RIGHT(Table4[[#This Row],[source_url]],LEN(Table4[[#This Row],[source_url]])-AA94)</f>
        <v>logy/wearables</v>
      </c>
    </row>
    <row r="95" spans="1:28" x14ac:dyDescent="0.2">
      <c r="A95" s="7" t="s">
        <v>555</v>
      </c>
      <c r="B95" s="3" t="s">
        <v>68</v>
      </c>
      <c r="C95" s="3" t="str">
        <f>CONCATENATE(Table4[[#This Row],[id]], "-", Table4[[#This Row],[name]])</f>
        <v xml:space="preserve"> 1216907341  -JUST COOL - A Wearable Mist Cooling Device</v>
      </c>
      <c r="D95" s="5">
        <v>43343</v>
      </c>
      <c r="E95" s="5">
        <v>43348</v>
      </c>
      <c r="F95" s="5">
        <v>43378</v>
      </c>
      <c r="G95" s="5" t="b">
        <f>EXACT(Table4[[#This Row],[created_at]],Table4[[#This Row],[launched_at]])</f>
        <v>0</v>
      </c>
      <c r="H95" s="3">
        <v>15</v>
      </c>
      <c r="I95" s="3" t="s">
        <v>35</v>
      </c>
      <c r="J95" s="3" t="str">
        <f>UPPER(Table4[[#This Row],[currency]])</f>
        <v>JPY</v>
      </c>
      <c r="K95" s="3">
        <v>9.0002899999999993E-3</v>
      </c>
      <c r="L95" s="3">
        <v>125603</v>
      </c>
      <c r="M95" s="23">
        <v>1130.46343</v>
      </c>
      <c r="N95" s="22">
        <v>5000000</v>
      </c>
      <c r="O95" s="3" t="s">
        <v>438</v>
      </c>
      <c r="P95" s="3" t="s">
        <v>327</v>
      </c>
      <c r="Q95" s="3" t="s">
        <v>523</v>
      </c>
      <c r="R95" s="3" t="s">
        <v>40</v>
      </c>
      <c r="S95" s="4" t="b">
        <v>0</v>
      </c>
      <c r="T95" s="3" t="s">
        <v>17</v>
      </c>
      <c r="U95" s="3">
        <f>VALUE(Table4[[#This Row],[usd_pledged]])</f>
        <v>1130.46343</v>
      </c>
      <c r="V95" s="12">
        <v>123818</v>
      </c>
      <c r="W95" t="str">
        <f>CONCATENATE(L95, " ", Table4[[#This Row],[Currency_CAP]], " ", PROPER("pledged"))</f>
        <v>125603 JPY Pledged</v>
      </c>
      <c r="X95" t="str">
        <f>LEFT(Table4[[#This Row],[state]],LEN(Table4[[#This Row],[state]])-7)</f>
        <v>Saitama Prefecture</v>
      </c>
      <c r="Y95" t="str">
        <f>SUBSTITUTE(Table4[[#This Row],[Concat Names]],":","-")</f>
        <v xml:space="preserve"> 1216907341  -JUST COOL - A Wearable Mist Cooling Device</v>
      </c>
      <c r="Z95" t="str">
        <f t="shared" si="2"/>
        <v>1216907341 -JUST COOL - A Wearable Mist Cooling Device</v>
      </c>
      <c r="AA95">
        <f t="shared" si="3"/>
        <v>54</v>
      </c>
      <c r="AB95" t="str">
        <f>RIGHT(Table4[[#This Row],[source_url]],LEN(Table4[[#This Row],[source_url]])-AA95)</f>
        <v>logy/wearables</v>
      </c>
    </row>
    <row r="96" spans="1:28" x14ac:dyDescent="0.2">
      <c r="A96" s="7" t="s">
        <v>596</v>
      </c>
      <c r="B96" s="3" t="s">
        <v>177</v>
      </c>
      <c r="C96" s="3" t="str">
        <f>CONCATENATE(Table4[[#This Row],[id]], "-", Table4[[#This Row],[name]])</f>
        <v xml:space="preserve"> 201347840  -Accessible Health Management Technology</v>
      </c>
      <c r="D96" s="5">
        <v>43349</v>
      </c>
      <c r="E96" s="5">
        <v>43410</v>
      </c>
      <c r="F96" s="5">
        <v>43450</v>
      </c>
      <c r="G96" s="5" t="b">
        <f>EXACT(Table4[[#This Row],[created_at]],Table4[[#This Row],[launched_at]])</f>
        <v>0</v>
      </c>
      <c r="H96" s="3">
        <v>3</v>
      </c>
      <c r="I96" s="3" t="s">
        <v>22</v>
      </c>
      <c r="J96" s="3" t="str">
        <f>UPPER(Table4[[#This Row],[currency]])</f>
        <v>CAD</v>
      </c>
      <c r="K96" s="3">
        <v>0.76216490999999997</v>
      </c>
      <c r="L96" s="3">
        <v>191.29</v>
      </c>
      <c r="M96" s="23">
        <v>145.79452599999999</v>
      </c>
      <c r="N96" s="22">
        <v>49888</v>
      </c>
      <c r="O96" s="3" t="s">
        <v>350</v>
      </c>
      <c r="P96" s="3" t="s">
        <v>301</v>
      </c>
      <c r="Q96" s="3" t="s">
        <v>517</v>
      </c>
      <c r="R96" s="3" t="s">
        <v>40</v>
      </c>
      <c r="S96" s="4" t="b">
        <v>0</v>
      </c>
      <c r="T96" s="3" t="s">
        <v>17</v>
      </c>
      <c r="U96" s="3">
        <f>VALUE(Table4[[#This Row],[usd_pledged]])</f>
        <v>145.79452599999999</v>
      </c>
      <c r="V96" s="12">
        <v>137325.78</v>
      </c>
      <c r="W96" t="str">
        <f>CONCATENATE(L96, " ", Table4[[#This Row],[Currency_CAP]], " ", PROPER("pledged"))</f>
        <v>191.29 CAD Pledged</v>
      </c>
      <c r="X96" t="str">
        <f>LEFT(Table4[[#This Row],[state]],LEN(Table4[[#This Row],[state]])-7)</f>
        <v>ON</v>
      </c>
      <c r="Y96" t="str">
        <f>SUBSTITUTE(Table4[[#This Row],[Concat Names]],":","-")</f>
        <v xml:space="preserve"> 201347840  -Accessible Health Management Technology</v>
      </c>
      <c r="Z96" t="str">
        <f t="shared" si="2"/>
        <v>201347840 -Accessible Health Management Technology</v>
      </c>
      <c r="AA96">
        <f t="shared" si="3"/>
        <v>54</v>
      </c>
      <c r="AB96" t="str">
        <f>RIGHT(Table4[[#This Row],[source_url]],LEN(Table4[[#This Row],[source_url]])-AA96)</f>
        <v>logy/wearables</v>
      </c>
    </row>
    <row r="97" spans="1:28" x14ac:dyDescent="0.2">
      <c r="A97" s="7" t="s">
        <v>643</v>
      </c>
      <c r="B97" s="3" t="s">
        <v>285</v>
      </c>
      <c r="C97" s="3" t="str">
        <f>CONCATENATE(Table4[[#This Row],[id]], "-", Table4[[#This Row],[name]])</f>
        <v xml:space="preserve"> 2107188830  -Kinetic belt for smartphones</v>
      </c>
      <c r="D97" s="5">
        <v>43387</v>
      </c>
      <c r="E97" s="5">
        <v>43438</v>
      </c>
      <c r="F97" s="5">
        <v>43483</v>
      </c>
      <c r="G97" s="5" t="b">
        <f>EXACT(Table4[[#This Row],[created_at]],Table4[[#This Row],[launched_at]])</f>
        <v>0</v>
      </c>
      <c r="H97" s="3">
        <v>6</v>
      </c>
      <c r="I97" s="3" t="s">
        <v>18</v>
      </c>
      <c r="J97" s="3" t="str">
        <f>UPPER(Table4[[#This Row],[currency]])</f>
        <v>EUR</v>
      </c>
      <c r="K97" s="3">
        <v>1.1349951899999999</v>
      </c>
      <c r="L97" s="3">
        <v>151</v>
      </c>
      <c r="M97" s="23">
        <v>171.384274</v>
      </c>
      <c r="N97" s="22">
        <v>2800</v>
      </c>
      <c r="O97" s="3" t="s">
        <v>343</v>
      </c>
      <c r="P97" s="3" t="s">
        <v>294</v>
      </c>
      <c r="Q97" s="3" t="s">
        <v>514</v>
      </c>
      <c r="R97" s="3" t="s">
        <v>40</v>
      </c>
      <c r="S97" s="4" t="b">
        <v>0</v>
      </c>
      <c r="T97" s="3" t="s">
        <v>17</v>
      </c>
      <c r="U97" s="3">
        <f>VALUE(Table4[[#This Row],[usd_pledged]])</f>
        <v>171.384274</v>
      </c>
      <c r="V97" s="12">
        <v>166945</v>
      </c>
      <c r="W97" t="str">
        <f>CONCATENATE(L97, " ", Table4[[#This Row],[Currency_CAP]], " ", PROPER("pledged"))</f>
        <v>151 EUR Pledged</v>
      </c>
      <c r="X97" t="str">
        <f>LEFT(Table4[[#This Row],[state]],LEN(Table4[[#This Row],[state]])-7)</f>
        <v>Berlin</v>
      </c>
      <c r="Y97" t="str">
        <f>SUBSTITUTE(Table4[[#This Row],[Concat Names]],":","-")</f>
        <v xml:space="preserve"> 2107188830  -Kinetic belt for smartphones</v>
      </c>
      <c r="Z97" t="str">
        <f t="shared" si="2"/>
        <v>2107188830 -Kinetic belt for smartphones</v>
      </c>
      <c r="AA97">
        <f t="shared" si="3"/>
        <v>54</v>
      </c>
      <c r="AB97" t="str">
        <f>RIGHT(Table4[[#This Row],[source_url]],LEN(Table4[[#This Row],[source_url]])-AA97)</f>
        <v>logy/wearables</v>
      </c>
    </row>
    <row r="98" spans="1:28" x14ac:dyDescent="0.2">
      <c r="A98" s="7" t="s">
        <v>610</v>
      </c>
      <c r="B98" s="3" t="s">
        <v>197</v>
      </c>
      <c r="C98" s="3" t="str">
        <f>CONCATENATE(Table4[[#This Row],[id]], "-", Table4[[#This Row],[name]])</f>
        <v xml:space="preserve"> 804136448  -The Smart Bracelet - Perfect Christmas Gift</v>
      </c>
      <c r="D98" s="5">
        <v>43402</v>
      </c>
      <c r="E98" s="5">
        <v>43404</v>
      </c>
      <c r="F98" s="5">
        <v>43434</v>
      </c>
      <c r="G98" s="5" t="b">
        <f>EXACT(Table4[[#This Row],[created_at]],Table4[[#This Row],[launched_at]])</f>
        <v>0</v>
      </c>
      <c r="H98" s="3">
        <v>3</v>
      </c>
      <c r="I98" s="3" t="s">
        <v>19</v>
      </c>
      <c r="J98" s="3" t="str">
        <f>UPPER(Table4[[#This Row],[currency]])</f>
        <v>GBP</v>
      </c>
      <c r="K98" s="3">
        <v>1.2810445100000001</v>
      </c>
      <c r="L98" s="3">
        <v>171</v>
      </c>
      <c r="M98" s="23">
        <v>219.05861100000001</v>
      </c>
      <c r="N98" s="22">
        <v>15000</v>
      </c>
      <c r="O98" s="3" t="s">
        <v>393</v>
      </c>
      <c r="P98" s="3" t="s">
        <v>315</v>
      </c>
      <c r="Q98" s="3" t="s">
        <v>517</v>
      </c>
      <c r="R98" s="3" t="s">
        <v>40</v>
      </c>
      <c r="S98" s="4" t="b">
        <v>0</v>
      </c>
      <c r="T98" s="3" t="s">
        <v>17</v>
      </c>
      <c r="U98" s="3">
        <f>VALUE(Table4[[#This Row],[usd_pledged]])</f>
        <v>219.05861100000001</v>
      </c>
      <c r="V98" s="12">
        <v>183449.14</v>
      </c>
      <c r="W98" t="str">
        <f>CONCATENATE(L98, " ", Table4[[#This Row],[Currency_CAP]], " ", PROPER("pledged"))</f>
        <v>171 GBP Pledged</v>
      </c>
      <c r="X98" t="str">
        <f>LEFT(Table4[[#This Row],[state]],LEN(Table4[[#This Row],[state]])-7)</f>
        <v>AB</v>
      </c>
      <c r="Y98" t="str">
        <f>SUBSTITUTE(Table4[[#This Row],[Concat Names]],":","-")</f>
        <v xml:space="preserve"> 804136448  -The Smart Bracelet - Perfect Christmas Gift</v>
      </c>
      <c r="Z98" t="str">
        <f t="shared" si="2"/>
        <v>804136448 -The Smart Bracelet - Perfect Christmas Gift</v>
      </c>
      <c r="AA98">
        <f t="shared" si="3"/>
        <v>54</v>
      </c>
      <c r="AB98" t="str">
        <f>RIGHT(Table4[[#This Row],[source_url]],LEN(Table4[[#This Row],[source_url]])-AA98)</f>
        <v>logy/wearables</v>
      </c>
    </row>
    <row r="99" spans="1:28" x14ac:dyDescent="0.2">
      <c r="A99" s="7" t="s">
        <v>621</v>
      </c>
      <c r="B99" s="3" t="s">
        <v>246</v>
      </c>
      <c r="C99" s="3" t="str">
        <f>CONCATENATE(Table4[[#This Row],[id]], "-", Table4[[#This Row],[name]])</f>
        <v xml:space="preserve"> 661671947  -WoodOX Sling: The Ultimate Firewood Carrier</v>
      </c>
      <c r="D99" s="5">
        <v>43410</v>
      </c>
      <c r="E99" s="5">
        <v>43425</v>
      </c>
      <c r="F99" s="5">
        <v>43455</v>
      </c>
      <c r="G99" s="5" t="b">
        <f>EXACT(Table4[[#This Row],[created_at]],Table4[[#This Row],[launched_at]])</f>
        <v>0</v>
      </c>
      <c r="H99" s="3">
        <v>250</v>
      </c>
      <c r="I99" s="3" t="s">
        <v>15</v>
      </c>
      <c r="J99" s="3" t="str">
        <f>UPPER(Table4[[#This Row],[currency]])</f>
        <v>USD</v>
      </c>
      <c r="K99" s="3">
        <v>1</v>
      </c>
      <c r="L99" s="3">
        <v>31866</v>
      </c>
      <c r="M99" s="23">
        <v>31866</v>
      </c>
      <c r="N99" s="22">
        <v>100000</v>
      </c>
      <c r="O99" s="3" t="s">
        <v>484</v>
      </c>
      <c r="P99" s="3" t="s">
        <v>287</v>
      </c>
      <c r="Q99" s="3" t="s">
        <v>513</v>
      </c>
      <c r="R99" s="3" t="s">
        <v>40</v>
      </c>
      <c r="S99" s="4" t="b">
        <v>0</v>
      </c>
      <c r="T99" s="3" t="s">
        <v>17</v>
      </c>
      <c r="U99" s="3">
        <f>VALUE(Table4[[#This Row],[usd_pledged]])</f>
        <v>31866</v>
      </c>
      <c r="V99" s="12">
        <v>196848.33499999999</v>
      </c>
      <c r="W99" t="str">
        <f>CONCATENATE(L99, " ", Table4[[#This Row],[Currency_CAP]], " ", PROPER("pledged"))</f>
        <v>31866 USD Pledged</v>
      </c>
      <c r="X99" t="str">
        <f>LEFT(Table4[[#This Row],[state]],LEN(Table4[[#This Row],[state]])-7)</f>
        <v>VT</v>
      </c>
      <c r="Y99" t="str">
        <f>SUBSTITUTE(Table4[[#This Row],[Concat Names]],":","-")</f>
        <v xml:space="preserve"> 661671947  -WoodOX Sling- The Ultimate Firewood Carrier</v>
      </c>
      <c r="Z99" t="str">
        <f t="shared" si="2"/>
        <v>661671947 -WoodOX Sling- The Ultimate Firewood Carrier</v>
      </c>
      <c r="AA99">
        <f t="shared" si="3"/>
        <v>54</v>
      </c>
      <c r="AB99" t="str">
        <f>RIGHT(Table4[[#This Row],[source_url]],LEN(Table4[[#This Row],[source_url]])-AA99)</f>
        <v>logy/wearables</v>
      </c>
    </row>
    <row r="100" spans="1:28" x14ac:dyDescent="0.2">
      <c r="A100" s="7" t="s">
        <v>582</v>
      </c>
      <c r="B100" s="3" t="s">
        <v>104</v>
      </c>
      <c r="C100" s="3" t="str">
        <f>CONCATENATE(Table4[[#This Row],[id]], "-", Table4[[#This Row],[name]])</f>
        <v xml:space="preserve"> 1648668730  -LUXTURE: Elegant, Connected Watch That Notifies with Lights</v>
      </c>
      <c r="D100" s="5">
        <v>43508</v>
      </c>
      <c r="E100" s="5">
        <v>43521</v>
      </c>
      <c r="F100" s="5">
        <v>43551</v>
      </c>
      <c r="G100" s="5" t="b">
        <f>EXACT(Table4[[#This Row],[created_at]],Table4[[#This Row],[launched_at]])</f>
        <v>0</v>
      </c>
      <c r="H100" s="3">
        <v>20</v>
      </c>
      <c r="I100" s="3" t="s">
        <v>15</v>
      </c>
      <c r="J100" s="3" t="str">
        <f>UPPER(Table4[[#This Row],[currency]])</f>
        <v>USD</v>
      </c>
      <c r="K100" s="3">
        <v>1</v>
      </c>
      <c r="L100" s="3">
        <v>10707</v>
      </c>
      <c r="M100" s="23">
        <v>10707</v>
      </c>
      <c r="N100" s="22">
        <v>10000</v>
      </c>
      <c r="O100" s="3" t="s">
        <v>458</v>
      </c>
      <c r="P100" s="3" t="s">
        <v>290</v>
      </c>
      <c r="Q100" s="3" t="s">
        <v>513</v>
      </c>
      <c r="R100" s="3" t="s">
        <v>40</v>
      </c>
      <c r="S100" s="4" t="b">
        <v>0</v>
      </c>
      <c r="T100" s="3" t="s">
        <v>16</v>
      </c>
      <c r="U100" s="3">
        <f>VALUE(Table4[[#This Row],[usd_pledged]])</f>
        <v>10707</v>
      </c>
      <c r="V100" s="12">
        <v>212535.99</v>
      </c>
      <c r="W100" t="str">
        <f>CONCATENATE(L100, " ", Table4[[#This Row],[Currency_CAP]], " ", PROPER("pledged"))</f>
        <v>10707 USD Pledged</v>
      </c>
      <c r="X100" t="str">
        <f>LEFT(Table4[[#This Row],[state]],LEN(Table4[[#This Row],[state]])-7)</f>
        <v>CA</v>
      </c>
      <c r="Y100" t="str">
        <f>SUBSTITUTE(Table4[[#This Row],[Concat Names]],":","-")</f>
        <v xml:space="preserve"> 1648668730  -LUXTURE- Elegant, Connected Watch That Notifies with Lights</v>
      </c>
      <c r="Z100" t="str">
        <f t="shared" si="2"/>
        <v>1648668730 -LUXTURE- Elegant, Connected Watch That Notifies with Lights</v>
      </c>
      <c r="AA100">
        <f t="shared" si="3"/>
        <v>54</v>
      </c>
      <c r="AB100" t="str">
        <f>RIGHT(Table4[[#This Row],[source_url]],LEN(Table4[[#This Row],[source_url]])-AA100)</f>
        <v>logy/wearables</v>
      </c>
    </row>
    <row r="101" spans="1:28" x14ac:dyDescent="0.2">
      <c r="A101" s="7" t="s">
        <v>585</v>
      </c>
      <c r="B101" s="3" t="s">
        <v>120</v>
      </c>
      <c r="C101" s="3" t="str">
        <f>CONCATENATE(Table4[[#This Row],[id]], "-", Table4[[#This Row],[name]])</f>
        <v xml:space="preserve"> 1186044901  -Get‚Ñ¢: Fingerprint authentication, payments and voice control</v>
      </c>
      <c r="D101" s="5">
        <v>43544</v>
      </c>
      <c r="E101" s="5">
        <v>43642</v>
      </c>
      <c r="F101" s="5">
        <v>43677</v>
      </c>
      <c r="G101" s="5" t="b">
        <f>EXACT(Table4[[#This Row],[created_at]],Table4[[#This Row],[launched_at]])</f>
        <v>0</v>
      </c>
      <c r="H101" s="3">
        <v>609</v>
      </c>
      <c r="I101" s="3" t="s">
        <v>18</v>
      </c>
      <c r="J101" s="3" t="str">
        <f>UPPER(Table4[[#This Row],[currency]])</f>
        <v>EUR</v>
      </c>
      <c r="K101" s="3">
        <v>1.1406605599999999</v>
      </c>
      <c r="L101" s="3">
        <v>91738</v>
      </c>
      <c r="M101" s="23">
        <v>104641.91899999999</v>
      </c>
      <c r="N101" s="22">
        <v>22014</v>
      </c>
      <c r="O101" s="3" t="s">
        <v>452</v>
      </c>
      <c r="P101" s="3" t="s">
        <v>329</v>
      </c>
      <c r="Q101" s="3" t="s">
        <v>519</v>
      </c>
      <c r="R101" s="3" t="s">
        <v>40</v>
      </c>
      <c r="S101" s="4" t="b">
        <v>0</v>
      </c>
      <c r="T101" s="3" t="s">
        <v>16</v>
      </c>
      <c r="U101" s="3">
        <f>VALUE(Table4[[#This Row],[usd_pledged]])</f>
        <v>104641.91899999999</v>
      </c>
      <c r="V101" s="12">
        <v>344336</v>
      </c>
      <c r="W101" t="str">
        <f>CONCATENATE(L101, " ", Table4[[#This Row],[Currency_CAP]], " ", PROPER("pledged"))</f>
        <v>91738 EUR Pledged</v>
      </c>
      <c r="X101" t="str">
        <f>LEFT(Table4[[#This Row],[state]],LEN(Table4[[#This Row],[state]])-7)</f>
        <v>Lombardy</v>
      </c>
      <c r="Y101" t="str">
        <f>SUBSTITUTE(Table4[[#This Row],[Concat Names]],":","-")</f>
        <v xml:space="preserve"> 1186044901  -Get‚Ñ¢- Fingerprint authentication, payments and voice control</v>
      </c>
      <c r="Z101" t="str">
        <f t="shared" si="2"/>
        <v>1186044901 -Get‚Ñ¢- Fingerprint authentication, payments and voice control</v>
      </c>
      <c r="AA101">
        <f t="shared" si="3"/>
        <v>54</v>
      </c>
      <c r="AB101" t="str">
        <f>RIGHT(Table4[[#This Row],[source_url]],LEN(Table4[[#This Row],[source_url]])-AA101)</f>
        <v>logy/wearables</v>
      </c>
    </row>
    <row r="102" spans="1:28" x14ac:dyDescent="0.2">
      <c r="A102" s="7" t="s">
        <v>588</v>
      </c>
      <c r="B102" s="3" t="s">
        <v>123</v>
      </c>
      <c r="C102" s="3" t="str">
        <f>CONCATENATE(Table4[[#This Row],[id]], "-", Table4[[#This Row],[name]])</f>
        <v xml:space="preserve"> 351656880  -NXT: Titanium &amp; Gold Battery-Free Connected NFC Crypto Rings</v>
      </c>
      <c r="D102" s="5">
        <v>43571</v>
      </c>
      <c r="E102" s="5">
        <v>43606</v>
      </c>
      <c r="F102" s="5">
        <v>43649</v>
      </c>
      <c r="G102" s="5" t="b">
        <f>EXACT(Table4[[#This Row],[created_at]],Table4[[#This Row],[launched_at]])</f>
        <v>0</v>
      </c>
      <c r="H102" s="3">
        <v>606</v>
      </c>
      <c r="I102" s="3" t="s">
        <v>34</v>
      </c>
      <c r="J102" s="3" t="str">
        <f>UPPER(Table4[[#This Row],[currency]])</f>
        <v>HKD</v>
      </c>
      <c r="K102" s="3">
        <v>0.1274072</v>
      </c>
      <c r="L102" s="3">
        <v>341798.5</v>
      </c>
      <c r="M102" s="23">
        <v>43547.589899999999</v>
      </c>
      <c r="N102" s="22">
        <v>50000</v>
      </c>
      <c r="O102" s="3" t="s">
        <v>408</v>
      </c>
      <c r="P102" s="3" t="s">
        <v>323</v>
      </c>
      <c r="Q102" s="3" t="s">
        <v>408</v>
      </c>
      <c r="R102" s="3" t="s">
        <v>40</v>
      </c>
      <c r="S102" s="4" t="b">
        <v>0</v>
      </c>
      <c r="T102" s="3" t="s">
        <v>16</v>
      </c>
      <c r="U102" s="3">
        <f>VALUE(Table4[[#This Row],[usd_pledged]])</f>
        <v>43547.589899999999</v>
      </c>
      <c r="V102" s="12">
        <v>651803</v>
      </c>
      <c r="W102" t="str">
        <f>CONCATENATE(L102, " ", Table4[[#This Row],[Currency_CAP]], " ", PROPER("pledged"))</f>
        <v>341798.5 HKD Pledged</v>
      </c>
      <c r="X102" t="str">
        <f>LEFT(Table4[[#This Row],[state]],LEN(Table4[[#This Row],[state]])-7)</f>
        <v>Hong Kong Island</v>
      </c>
      <c r="Y102" t="str">
        <f>SUBSTITUTE(Table4[[#This Row],[Concat Names]],":","-")</f>
        <v xml:space="preserve"> 351656880  -NXT- Titanium &amp; Gold Battery-Free Connected NFC Crypto Rings</v>
      </c>
      <c r="Z102" t="str">
        <f t="shared" si="2"/>
        <v>351656880 -NXT- Titanium &amp; Gold Battery-Free Connected NFC Crypto Rings</v>
      </c>
      <c r="AA102">
        <f t="shared" si="3"/>
        <v>54</v>
      </c>
      <c r="AB102" t="str">
        <f>RIGHT(Table4[[#This Row],[source_url]],LEN(Table4[[#This Row],[source_url]])-AA102)</f>
        <v>logy/wearables</v>
      </c>
    </row>
    <row r="103" spans="1:28" x14ac:dyDescent="0.2">
      <c r="A103" s="7" t="s">
        <v>598</v>
      </c>
      <c r="B103" s="3" t="s">
        <v>179</v>
      </c>
      <c r="C103" s="3" t="str">
        <f>CONCATENATE(Table4[[#This Row],[id]], "-", Table4[[#This Row],[name]])</f>
        <v xml:space="preserve"> 1071219465  -The ONYX Project: Connecting Sports and Technology</v>
      </c>
      <c r="D103" s="5">
        <v>43572</v>
      </c>
      <c r="E103" s="5">
        <v>43670</v>
      </c>
      <c r="F103" s="5">
        <v>43730</v>
      </c>
      <c r="G103" s="5" t="b">
        <f>EXACT(Table4[[#This Row],[created_at]],Table4[[#This Row],[launched_at]])</f>
        <v>0</v>
      </c>
      <c r="H103" s="3">
        <v>38</v>
      </c>
      <c r="I103" s="3" t="s">
        <v>15</v>
      </c>
      <c r="J103" s="3" t="str">
        <f>UPPER(Table4[[#This Row],[currency]])</f>
        <v>USD</v>
      </c>
      <c r="K103" s="3">
        <v>1</v>
      </c>
      <c r="L103" s="3">
        <v>6512</v>
      </c>
      <c r="M103" s="23">
        <v>6512</v>
      </c>
      <c r="N103" s="22">
        <v>50000</v>
      </c>
      <c r="O103" s="3" t="s">
        <v>408</v>
      </c>
      <c r="P103" s="3" t="s">
        <v>323</v>
      </c>
      <c r="Q103" s="3" t="s">
        <v>408</v>
      </c>
      <c r="R103" s="3" t="s">
        <v>40</v>
      </c>
      <c r="S103" s="4" t="b">
        <v>0</v>
      </c>
      <c r="T103" s="3" t="s">
        <v>17</v>
      </c>
      <c r="U103" s="3">
        <f>VALUE(Table4[[#This Row],[usd_pledged]])</f>
        <v>6512</v>
      </c>
      <c r="V103" s="12">
        <v>1186983</v>
      </c>
      <c r="W103" t="str">
        <f>CONCATENATE(L103, " ", Table4[[#This Row],[Currency_CAP]], " ", PROPER("pledged"))</f>
        <v>6512 USD Pledged</v>
      </c>
      <c r="X103" t="str">
        <f>LEFT(Table4[[#This Row],[state]],LEN(Table4[[#This Row],[state]])-7)</f>
        <v>Hong Kong Island</v>
      </c>
      <c r="Y103" t="str">
        <f>SUBSTITUTE(Table4[[#This Row],[Concat Names]],":","-")</f>
        <v xml:space="preserve"> 1071219465  -The ONYX Project- Connecting Sports and Technology</v>
      </c>
      <c r="Z103" t="str">
        <f t="shared" si="2"/>
        <v>1071219465 -The ONYX Project- Connecting Sports and Technology</v>
      </c>
      <c r="AA103">
        <f t="shared" si="3"/>
        <v>54</v>
      </c>
      <c r="AB103" t="str">
        <f>RIGHT(Table4[[#This Row],[source_url]],LEN(Table4[[#This Row],[source_url]])-AA103)</f>
        <v>logy/wearables</v>
      </c>
    </row>
    <row r="104" spans="1:28" x14ac:dyDescent="0.2">
      <c r="A104" s="7" t="s">
        <v>576</v>
      </c>
      <c r="B104" s="3" t="s">
        <v>97</v>
      </c>
      <c r="C104" s="3" t="str">
        <f>CONCATENATE(Table4[[#This Row],[id]], "-", Table4[[#This Row],[name]])</f>
        <v xml:space="preserve"> 348622365  -Glowbands: Wearable Headband Technology</v>
      </c>
      <c r="D104" s="5">
        <v>43726</v>
      </c>
      <c r="E104" s="5">
        <v>43728</v>
      </c>
      <c r="F104" s="5">
        <v>43753</v>
      </c>
      <c r="G104" s="5" t="b">
        <f>EXACT(Table4[[#This Row],[created_at]],Table4[[#This Row],[launched_at]])</f>
        <v>0</v>
      </c>
      <c r="H104" s="3">
        <v>9</v>
      </c>
      <c r="I104" s="3" t="s">
        <v>15</v>
      </c>
      <c r="J104" s="3" t="str">
        <f>UPPER(Table4[[#This Row],[currency]])</f>
        <v>USD</v>
      </c>
      <c r="K104" s="3">
        <v>1</v>
      </c>
      <c r="L104" s="3">
        <v>222</v>
      </c>
      <c r="M104" s="23">
        <v>222</v>
      </c>
      <c r="N104" s="22">
        <v>5000</v>
      </c>
      <c r="O104" s="3" t="s">
        <v>355</v>
      </c>
      <c r="P104" s="3" t="s">
        <v>305</v>
      </c>
      <c r="Q104" s="3" t="s">
        <v>513</v>
      </c>
      <c r="R104" s="3" t="s">
        <v>40</v>
      </c>
      <c r="S104" s="4" t="b">
        <v>0</v>
      </c>
      <c r="T104" s="3" t="s">
        <v>17</v>
      </c>
      <c r="U104" s="3">
        <f>VALUE(Table4[[#This Row],[usd_pledged]])</f>
        <v>222</v>
      </c>
      <c r="V104" s="12">
        <v>1330293.33</v>
      </c>
      <c r="W104" t="str">
        <f>CONCATENATE(L104, " ", Table4[[#This Row],[Currency_CAP]], " ", PROPER("pledged"))</f>
        <v>222 USD Pledged</v>
      </c>
      <c r="X104" t="str">
        <f>LEFT(Table4[[#This Row],[state]],LEN(Table4[[#This Row],[state]])-7)</f>
        <v>IL</v>
      </c>
      <c r="Y104" t="str">
        <f>SUBSTITUTE(Table4[[#This Row],[Concat Names]],":","-")</f>
        <v xml:space="preserve"> 348622365  -Glowbands- Wearable Headband Technology</v>
      </c>
      <c r="Z104" t="str">
        <f t="shared" si="2"/>
        <v>348622365 -Glowbands- Wearable Headband Technology</v>
      </c>
      <c r="AA104">
        <f t="shared" si="3"/>
        <v>54</v>
      </c>
      <c r="AB104" t="str">
        <f>RIGHT(Table4[[#This Row],[source_url]],LEN(Table4[[#This Row],[source_url]])-AA104)</f>
        <v>logy/wearables</v>
      </c>
    </row>
  </sheetData>
  <sortState xmlns:xlrd2="http://schemas.microsoft.com/office/spreadsheetml/2017/richdata2" ref="A2:T104">
    <sortCondition ref="D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Games (exercises)</vt:lpstr>
      <vt:lpstr>Processed Games</vt:lpstr>
      <vt:lpstr>Questions</vt:lpstr>
      <vt:lpstr>Date Tables</vt:lpstr>
      <vt:lpstr>Exchange Rate table</vt:lpstr>
      <vt:lpstr>Wearables (example)</vt:lpstr>
      <vt:lpstr>Backers</vt:lpstr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bricker</dc:creator>
  <cp:lastModifiedBy>Microsoft Office User</cp:lastModifiedBy>
  <dcterms:created xsi:type="dcterms:W3CDTF">2020-03-04T21:52:30Z</dcterms:created>
  <dcterms:modified xsi:type="dcterms:W3CDTF">2022-02-12T07:46:01Z</dcterms:modified>
</cp:coreProperties>
</file>