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8_{D851743B-0D9E-47DF-A824-DDFC86568001}" xr6:coauthVersionLast="45" xr6:coauthVersionMax="45" xr10:uidLastSave="{00000000-0000-0000-0000-000000000000}"/>
  <bookViews>
    <workbookView xWindow="28692" yWindow="-3720" windowWidth="19416" windowHeight="14856" activeTab="3" xr2:uid="{047B82AB-767B-4B06-81AC-11CA0B2A0ECE}"/>
  </bookViews>
  <sheets>
    <sheet name="Ohm" sheetId="1" r:id="rId1"/>
    <sheet name="MOhm" sheetId="2" r:id="rId2"/>
    <sheet name="Summary" sheetId="3" r:id="rId3"/>
    <sheet name="Rho300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G16" i="4" l="1"/>
  <c r="G17" i="4"/>
  <c r="G18" i="4"/>
  <c r="E18" i="4" l="1"/>
  <c r="E17" i="4"/>
  <c r="E16" i="4"/>
  <c r="E15" i="4"/>
  <c r="D18" i="4"/>
  <c r="D17" i="4"/>
  <c r="I5" i="4"/>
  <c r="I6" i="4"/>
  <c r="I7" i="4"/>
  <c r="I8" i="4"/>
  <c r="I9" i="4"/>
  <c r="I10" i="4"/>
  <c r="I11" i="4"/>
  <c r="D16" i="4"/>
  <c r="D15" i="4"/>
  <c r="G15" i="4" s="1"/>
  <c r="B1" i="4"/>
  <c r="J11" i="3"/>
  <c r="I11" i="3"/>
  <c r="G5" i="4" l="1"/>
  <c r="H11" i="4"/>
  <c r="G11" i="4"/>
  <c r="H10" i="4"/>
  <c r="G10" i="4"/>
  <c r="H9" i="4"/>
  <c r="G6" i="4"/>
  <c r="G9" i="4"/>
  <c r="H8" i="4"/>
  <c r="G4" i="4"/>
  <c r="I4" i="4" s="1"/>
  <c r="G8" i="4"/>
  <c r="H7" i="4"/>
  <c r="G7" i="4"/>
  <c r="H6" i="4"/>
  <c r="H4" i="4"/>
  <c r="I8" i="2"/>
  <c r="I9" i="2"/>
  <c r="H6" i="2"/>
  <c r="H7" i="2"/>
  <c r="H10" i="2"/>
  <c r="H11" i="2"/>
  <c r="H12" i="2"/>
  <c r="H13" i="2"/>
  <c r="G6" i="2"/>
  <c r="G7" i="2"/>
  <c r="G10" i="2"/>
  <c r="G11" i="2"/>
  <c r="G12" i="2"/>
  <c r="G13" i="2"/>
  <c r="F6" i="2"/>
  <c r="F7" i="2"/>
  <c r="F10" i="2"/>
  <c r="F11" i="2"/>
  <c r="F12" i="2"/>
  <c r="F13" i="2"/>
  <c r="E6" i="2"/>
  <c r="E7" i="2"/>
  <c r="E10" i="2"/>
  <c r="E11" i="2"/>
  <c r="E12" i="2"/>
  <c r="I12" i="2" s="1"/>
  <c r="E13" i="2"/>
  <c r="I13" i="2" s="1"/>
  <c r="I23" i="1"/>
  <c r="I24" i="1"/>
  <c r="I25" i="1"/>
  <c r="I26" i="1"/>
  <c r="I27" i="1"/>
  <c r="I28" i="1"/>
  <c r="I29" i="1"/>
  <c r="I30" i="1"/>
  <c r="I11" i="2" l="1"/>
  <c r="I37" i="2" s="1"/>
  <c r="F37" i="2"/>
  <c r="E37" i="2"/>
  <c r="E36" i="2"/>
  <c r="F36" i="2"/>
  <c r="G37" i="2"/>
  <c r="H37" i="2"/>
  <c r="H36" i="2"/>
  <c r="G36" i="2"/>
  <c r="I10" i="2"/>
  <c r="J36" i="2" s="1"/>
  <c r="I7" i="2"/>
  <c r="I6" i="2"/>
  <c r="F2" i="2"/>
  <c r="G2" i="2"/>
  <c r="H2" i="2"/>
  <c r="F4" i="2"/>
  <c r="G4" i="2"/>
  <c r="H4" i="2"/>
  <c r="F3" i="2"/>
  <c r="G3" i="2"/>
  <c r="H3" i="2"/>
  <c r="F5" i="2"/>
  <c r="G5" i="2"/>
  <c r="H5" i="2"/>
  <c r="F14" i="2"/>
  <c r="G14" i="2"/>
  <c r="H14" i="2"/>
  <c r="F15" i="2"/>
  <c r="G15" i="2"/>
  <c r="H15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E4" i="2"/>
  <c r="E3" i="2"/>
  <c r="E5" i="2"/>
  <c r="E14" i="2"/>
  <c r="E51" i="2" s="1"/>
  <c r="E15" i="2"/>
  <c r="I16" i="2"/>
  <c r="I17" i="2"/>
  <c r="E18" i="2"/>
  <c r="E19" i="2"/>
  <c r="E20" i="2"/>
  <c r="E21" i="2"/>
  <c r="E22" i="2"/>
  <c r="E23" i="2"/>
  <c r="I23" i="2" s="1"/>
  <c r="E24" i="2"/>
  <c r="E25" i="2"/>
  <c r="E26" i="2"/>
  <c r="E27" i="2"/>
  <c r="E28" i="2"/>
  <c r="E29" i="2"/>
  <c r="E2" i="2"/>
  <c r="F38" i="2" l="1"/>
  <c r="E38" i="2"/>
  <c r="G40" i="2"/>
  <c r="H40" i="2"/>
  <c r="G41" i="2"/>
  <c r="H41" i="2"/>
  <c r="F39" i="2"/>
  <c r="E39" i="2"/>
  <c r="G39" i="2"/>
  <c r="H39" i="2"/>
  <c r="J37" i="2"/>
  <c r="F41" i="2"/>
  <c r="E41" i="2"/>
  <c r="F40" i="2"/>
  <c r="E40" i="2"/>
  <c r="H38" i="2"/>
  <c r="G38" i="2"/>
  <c r="I36" i="2"/>
  <c r="G35" i="2"/>
  <c r="H35" i="2"/>
  <c r="I3" i="2"/>
  <c r="F35" i="2"/>
  <c r="E35" i="2"/>
  <c r="F34" i="2"/>
  <c r="E34" i="2"/>
  <c r="H34" i="2"/>
  <c r="G34" i="2"/>
  <c r="I25" i="2"/>
  <c r="G51" i="2"/>
  <c r="I15" i="2"/>
  <c r="F51" i="2"/>
  <c r="I21" i="2"/>
  <c r="I20" i="2"/>
  <c r="I24" i="2"/>
  <c r="I4" i="2"/>
  <c r="H51" i="2"/>
  <c r="I18" i="2"/>
  <c r="I28" i="2"/>
  <c r="I22" i="2"/>
  <c r="I27" i="2"/>
  <c r="I19" i="2"/>
  <c r="I14" i="2"/>
  <c r="I29" i="2"/>
  <c r="I5" i="2"/>
  <c r="I2" i="2"/>
  <c r="I26" i="2"/>
  <c r="I35" i="2" l="1"/>
  <c r="I41" i="2"/>
  <c r="J41" i="2"/>
  <c r="I40" i="2"/>
  <c r="J40" i="2"/>
  <c r="I39" i="2"/>
  <c r="J39" i="2"/>
  <c r="I38" i="2"/>
  <c r="J38" i="2"/>
  <c r="J34" i="2"/>
  <c r="I34" i="2"/>
  <c r="J35" i="2"/>
  <c r="G46" i="2"/>
  <c r="E46" i="2"/>
  <c r="I51" i="2"/>
  <c r="F47" i="2"/>
  <c r="E47" i="2"/>
  <c r="G47" i="2"/>
  <c r="H47" i="2"/>
  <c r="J51" i="2"/>
  <c r="I15" i="1"/>
  <c r="I11" i="1"/>
  <c r="I12" i="1"/>
  <c r="I13" i="1"/>
  <c r="I14" i="1"/>
  <c r="I16" i="1"/>
  <c r="I17" i="1"/>
  <c r="I18" i="1"/>
  <c r="I19" i="1"/>
  <c r="I20" i="1"/>
  <c r="I21" i="1"/>
  <c r="I22" i="1"/>
  <c r="I4" i="1"/>
  <c r="I5" i="1"/>
  <c r="I6" i="1"/>
  <c r="I7" i="1"/>
  <c r="I8" i="1"/>
  <c r="I9" i="1"/>
  <c r="I10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</author>
  </authors>
  <commentList>
    <comment ref="E4" authorId="0" shapeId="0" xr:uid="{E1A7C7F9-378A-4B95-B31D-EF9AB86537CE}">
      <text>
        <r>
          <rPr>
            <b/>
            <sz val="9"/>
            <color indexed="81"/>
            <rFont val="Tahoma"/>
            <charset val="1"/>
          </rPr>
          <t>0311_1215_WO3196dev1_air_after
used, as resistance had not stabilised at the end of the measurment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</author>
  </authors>
  <commentList>
    <comment ref="E3" authorId="0" shapeId="0" xr:uid="{F33D73D7-F0F7-4C93-9C93-7590D959CE7F}">
      <text>
        <r>
          <rPr>
            <b/>
            <sz val="9"/>
            <color indexed="81"/>
            <rFont val="Tahoma"/>
            <charset val="1"/>
          </rPr>
          <t>0311_1215_WO3196dev1_air_after
used, as resistance had not stabilised at the end of the measurment</t>
        </r>
      </text>
    </comment>
  </commentList>
</comments>
</file>

<file path=xl/sharedStrings.xml><?xml version="1.0" encoding="utf-8"?>
<sst xmlns="http://schemas.openxmlformats.org/spreadsheetml/2006/main" count="269" uniqueCount="95">
  <si>
    <t>Measurements</t>
  </si>
  <si>
    <t>T (C)</t>
  </si>
  <si>
    <t>Type?</t>
  </si>
  <si>
    <t>R_air mean</t>
  </si>
  <si>
    <t>R_air std</t>
  </si>
  <si>
    <t>R_h2 mean</t>
  </si>
  <si>
    <t>R_h2 std</t>
  </si>
  <si>
    <t>DR/R0</t>
  </si>
  <si>
    <t>Tau ~ (s)</t>
  </si>
  <si>
    <t>Notes</t>
  </si>
  <si>
    <t>0311_1139_WO3196dev1_airToH2</t>
  </si>
  <si>
    <t>H2toAir</t>
  </si>
  <si>
    <t>AirtoH2</t>
  </si>
  <si>
    <t>0311_1158_WO3196dev1_h2ToAir</t>
  </si>
  <si>
    <t>0311_1236_WO3196dev1_airToH2</t>
  </si>
  <si>
    <t>0311_1255_WO3196dev1_H2ToAir</t>
  </si>
  <si>
    <t>WO3196 Devices 1, 4, 7, 9 - Hydrogen response and recoveries</t>
  </si>
  <si>
    <t>Dev</t>
  </si>
  <si>
    <t>0318_1727_WO3196dev4_airToH2</t>
  </si>
  <si>
    <t>0318_1742_WO3196dev4_H2toAir</t>
  </si>
  <si>
    <t>0318_1837_WO3196dev4_AirToH2</t>
  </si>
  <si>
    <t>0318_1852_WO3196dev4_H2ToAir</t>
  </si>
  <si>
    <t>Resistance exploded after air was introduced</t>
  </si>
  <si>
    <t>Linear increase underneath data</t>
  </si>
  <si>
    <t>Unstable source current leads to higer noise</t>
  </si>
  <si>
    <t>0319_1744_WO3196dev7_AirToH2</t>
  </si>
  <si>
    <t>0319_1759_WO3196dev7_H2ToAir</t>
  </si>
  <si>
    <t>0319_1815_WO3196dev7_AirToH2</t>
  </si>
  <si>
    <t>0319_1831_WO3196dev7_H2ToAir</t>
  </si>
  <si>
    <t>0320_1615_WO3196dev7_H2ToAir_really</t>
  </si>
  <si>
    <t>?</t>
  </si>
  <si>
    <t>x</t>
  </si>
  <si>
    <t>0320_1559_WO3196dev7_H2ToAir</t>
  </si>
  <si>
    <t>Measured the next day, increase in base resistance</t>
  </si>
  <si>
    <t>0324_1727_WO3196dev9_AirToH2</t>
  </si>
  <si>
    <t>0324_1743_WO3196dev9_H2ToAir</t>
  </si>
  <si>
    <t>0324_1758_WO3196dev9_AirToH2</t>
  </si>
  <si>
    <t>0324_1814_WO3196dev9_H2ToAir</t>
  </si>
  <si>
    <t>0324_1829_WO3196dev9_AirToH2</t>
  </si>
  <si>
    <t>0324_1904_WO3196dev9_H2ToAir</t>
  </si>
  <si>
    <t>Unstable source current leads to higher noise</t>
  </si>
  <si>
    <t>Device</t>
  </si>
  <si>
    <t>Std</t>
  </si>
  <si>
    <t>DR/R0 Mean</t>
  </si>
  <si>
    <t>DR/R0 Std</t>
  </si>
  <si>
    <t>DR/R0 Air to H2</t>
  </si>
  <si>
    <t>DR/R0 H2 to Air</t>
  </si>
  <si>
    <t>0218_1208_WO3196_h2drop</t>
  </si>
  <si>
    <t>Air to H2</t>
  </si>
  <si>
    <t>No reaction, weird peaks due to main chamber not being grounded</t>
  </si>
  <si>
    <t>0218_1257_WO3196_h2toAir</t>
  </si>
  <si>
    <t>H2 to Air</t>
  </si>
  <si>
    <t>0218_1458_WO3196_65C_airToH2</t>
  </si>
  <si>
    <t>Unstable</t>
  </si>
  <si>
    <t>0218_1552_WO3196_65C_h2ToAir</t>
  </si>
  <si>
    <t>Weird peak when air is introduced</t>
  </si>
  <si>
    <t>0219_1101_WO3196_65C_airToH2</t>
  </si>
  <si>
    <t>0219_1139_WO3196_65C_h2ToAir</t>
  </si>
  <si>
    <t>0220_1500_WO3196_65C_highHz_airToH2</t>
  </si>
  <si>
    <t>0220_1557_WO3196_65C_highHz_airToH2</t>
  </si>
  <si>
    <t>Type</t>
  </si>
  <si>
    <t>Table for report</t>
  </si>
  <si>
    <t>Platinum</t>
  </si>
  <si>
    <t>Area</t>
  </si>
  <si>
    <t>Perimeter</t>
  </si>
  <si>
    <t>um</t>
  </si>
  <si>
    <t>Mohm</t>
  </si>
  <si>
    <t>Measurement name</t>
  </si>
  <si>
    <t>0324_1432_WO3196dev9_IVcurve_25</t>
  </si>
  <si>
    <t>0324_1446_WO3196dev9_IVcurve_25</t>
  </si>
  <si>
    <t>0320_1807_WO3196dev7_IVcurve_25</t>
  </si>
  <si>
    <t>No hysteresis, taken after hydrogen measurements</t>
  </si>
  <si>
    <t>0319_1514_WO3196dev7_IVcurve_25</t>
  </si>
  <si>
    <t>Has hysteresis</t>
  </si>
  <si>
    <t>0319_1528_WO3196dev7_IVcurve_25</t>
  </si>
  <si>
    <t>Most recent one before H2 measurements, conatins hysteresis, but should not matter for differential resistance</t>
  </si>
  <si>
    <t>0310_1605_WO3196dev1_IVcurve</t>
  </si>
  <si>
    <t>0310_1546_WO3196dev1_IVcurve</t>
  </si>
  <si>
    <t>Does not show kink, but previous measurement does, so is 4 point</t>
  </si>
  <si>
    <t>R fit -</t>
  </si>
  <si>
    <t>R std -</t>
  </si>
  <si>
    <t>R std +</t>
  </si>
  <si>
    <t>R fit + (Ohm)</t>
  </si>
  <si>
    <t>t</t>
  </si>
  <si>
    <t>uc</t>
  </si>
  <si>
    <t>c</t>
  </si>
  <si>
    <t>nm</t>
  </si>
  <si>
    <t>Rho 300K +</t>
  </si>
  <si>
    <t>Rho 300K -</t>
  </si>
  <si>
    <t>Ohm cm</t>
  </si>
  <si>
    <t>Rho mean</t>
  </si>
  <si>
    <t xml:space="preserve">Device </t>
  </si>
  <si>
    <t>Rho std</t>
  </si>
  <si>
    <t>0218_1349_WO3196_prep_iv_curve_25C</t>
  </si>
  <si>
    <t>Gio's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</si>
</sst>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1" fontId="2" fillId="0" borderId="0" xfId="0" applyNumberFormat="1" applyFont="1"/>
    <xf numFmtId="10" fontId="2" fillId="0" borderId="0" xfId="1" applyNumberFormat="1" applyFont="1"/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/>
    <xf numFmtId="0" fontId="2" fillId="2" borderId="0" xfId="0" applyFont="1" applyFill="1"/>
    <xf numFmtId="11" fontId="2" fillId="2" borderId="0" xfId="0" applyNumberFormat="1" applyFont="1" applyFill="1"/>
    <xf numFmtId="0" fontId="2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Border="1"/>
    <xf numFmtId="11" fontId="0" fillId="0" borderId="0" xfId="0" applyNumberFormat="1" applyBorder="1"/>
    <xf numFmtId="2" fontId="2" fillId="2" borderId="0" xfId="1" applyNumberFormat="1" applyFont="1" applyFill="1"/>
    <xf numFmtId="2" fontId="2" fillId="0" borderId="0" xfId="1" applyNumberFormat="1" applyFont="1"/>
    <xf numFmtId="2" fontId="0" fillId="2" borderId="0" xfId="1" applyNumberFormat="1" applyFont="1" applyFill="1"/>
    <xf numFmtId="2" fontId="0" fillId="0" borderId="0" xfId="1" applyNumberFormat="1" applyFont="1"/>
    <xf numFmtId="2" fontId="0" fillId="0" borderId="0" xfId="1" applyNumberFormat="1" applyFont="1" applyBorder="1"/>
    <xf numFmtId="0" fontId="4" fillId="2" borderId="0" xfId="0" applyFont="1" applyFill="1"/>
    <xf numFmtId="0" fontId="4" fillId="0" borderId="0" xfId="0" applyFont="1"/>
    <xf numFmtId="11" fontId="4" fillId="2" borderId="0" xfId="0" applyNumberFormat="1" applyFont="1" applyFill="1"/>
    <xf numFmtId="2" fontId="4" fillId="2" borderId="0" xfId="1" applyNumberFormat="1" applyFont="1" applyFill="1"/>
    <xf numFmtId="11" fontId="4" fillId="0" borderId="0" xfId="0" applyNumberFormat="1" applyFont="1"/>
    <xf numFmtId="2" fontId="4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21">
    <dxf>
      <numFmt numFmtId="164" formatCode="0.000000"/>
    </dxf>
    <dxf>
      <numFmt numFmtId="164" formatCode="0.000000"/>
    </dxf>
    <dxf>
      <numFmt numFmtId="164" formatCode="0.00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2" formatCode="0.00"/>
    </dxf>
    <dxf>
      <numFmt numFmtId="15" formatCode="0.00E+00"/>
    </dxf>
    <dxf>
      <numFmt numFmtId="2" formatCode="0.00"/>
    </dxf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Resistance</a:t>
            </a:r>
            <a:r>
              <a:rPr lang="en-GB" b="1" baseline="0"/>
              <a:t> versus platinum area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R_air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Summary!$B$2:$B$10</c:f>
              <c:strCache>
                <c:ptCount val="9"/>
                <c:pt idx="0">
                  <c:v>Area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</c:strCache>
            </c:strRef>
          </c:xVal>
          <c:yVal>
            <c:numRef>
              <c:f>Summary!$E$2:$E$10</c:f>
            </c:numRef>
          </c:yVal>
          <c:smooth val="0"/>
          <c:extLst>
            <c:ext xmlns:c16="http://schemas.microsoft.com/office/drawing/2014/chart" uri="{C3380CC4-5D6E-409C-BE32-E72D297353CC}">
              <c16:uniqueId val="{00000000-D5DF-4DD0-9D90-2CB8E8CD8FEB}"/>
            </c:ext>
          </c:extLst>
        </c:ser>
        <c:ser>
          <c:idx val="1"/>
          <c:order val="1"/>
          <c:tx>
            <c:strRef>
              <c:f>Summary!$G$2</c:f>
              <c:strCache>
                <c:ptCount val="1"/>
                <c:pt idx="0">
                  <c:v>R_h2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Summary!$B$2:$B$10</c:f>
              <c:strCache>
                <c:ptCount val="9"/>
                <c:pt idx="0">
                  <c:v>Area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</c:strCache>
            </c:strRef>
          </c:xVal>
          <c:yVal>
            <c:numRef>
              <c:f>Summary!$G$3:$G$10</c:f>
            </c:numRef>
          </c:yVal>
          <c:smooth val="0"/>
          <c:extLst>
            <c:ext xmlns:c16="http://schemas.microsoft.com/office/drawing/2014/chart" uri="{C3380CC4-5D6E-409C-BE32-E72D297353CC}">
              <c16:uniqueId val="{00000001-D5DF-4DD0-9D90-2CB8E8CD8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20336"/>
        <c:axId val="1149893744"/>
      </c:scatterChart>
      <c:valAx>
        <c:axId val="108482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93744"/>
        <c:crosses val="autoZero"/>
        <c:crossBetween val="midCat"/>
      </c:valAx>
      <c:valAx>
        <c:axId val="11498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2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Resistance versus platinum perimeter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8381452318464"/>
          <c:y val="0.18969925634295715"/>
          <c:w val="0.80857174103237095"/>
          <c:h val="0.69827172645086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R_air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Summary!$C$3:$C$10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900</c:v>
                </c:pt>
                <c:pt idx="3">
                  <c:v>900</c:v>
                </c:pt>
                <c:pt idx="4">
                  <c:v>404</c:v>
                </c:pt>
                <c:pt idx="5">
                  <c:v>404</c:v>
                </c:pt>
                <c:pt idx="6">
                  <c:v>1604</c:v>
                </c:pt>
                <c:pt idx="7">
                  <c:v>1604</c:v>
                </c:pt>
              </c:numCache>
            </c:numRef>
          </c:xVal>
          <c:yVal>
            <c:numRef>
              <c:f>Summary!$E$3:$E$10</c:f>
            </c:numRef>
          </c:yVal>
          <c:smooth val="0"/>
          <c:extLst>
            <c:ext xmlns:c16="http://schemas.microsoft.com/office/drawing/2014/chart" uri="{C3380CC4-5D6E-409C-BE32-E72D297353CC}">
              <c16:uniqueId val="{00000000-D44B-4C4A-9CAE-787EFF7BC7FE}"/>
            </c:ext>
          </c:extLst>
        </c:ser>
        <c:ser>
          <c:idx val="1"/>
          <c:order val="1"/>
          <c:tx>
            <c:strRef>
              <c:f>Summary!$G$2</c:f>
              <c:strCache>
                <c:ptCount val="1"/>
                <c:pt idx="0">
                  <c:v>R_h2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Summary!$C$3:$C$10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900</c:v>
                </c:pt>
                <c:pt idx="3">
                  <c:v>900</c:v>
                </c:pt>
                <c:pt idx="4">
                  <c:v>404</c:v>
                </c:pt>
                <c:pt idx="5">
                  <c:v>404</c:v>
                </c:pt>
                <c:pt idx="6">
                  <c:v>1604</c:v>
                </c:pt>
                <c:pt idx="7">
                  <c:v>1604</c:v>
                </c:pt>
              </c:numCache>
            </c:numRef>
          </c:xVal>
          <c:yVal>
            <c:numRef>
              <c:f>Summary!$G$3:$G$10</c:f>
            </c:numRef>
          </c:yVal>
          <c:smooth val="0"/>
          <c:extLst>
            <c:ext xmlns:c16="http://schemas.microsoft.com/office/drawing/2014/chart" uri="{C3380CC4-5D6E-409C-BE32-E72D297353CC}">
              <c16:uniqueId val="{00000001-D44B-4C4A-9CAE-787EFF7BC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86336"/>
        <c:axId val="1149981936"/>
      </c:scatterChart>
      <c:valAx>
        <c:axId val="8720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81936"/>
        <c:crosses val="autoZero"/>
        <c:crossBetween val="midCat"/>
      </c:valAx>
      <c:valAx>
        <c:axId val="11499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8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589173228346463"/>
          <c:y val="0.11747020761402632"/>
          <c:w val="0.34266076115485566"/>
          <c:h val="6.6132477874221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DR/R0</a:t>
            </a:r>
            <a:r>
              <a:rPr lang="en-GB" baseline="0"/>
              <a:t> vs. Area</a:t>
            </a:r>
            <a:endParaRPr lang="en-GB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DR/R0 AirToH2</c:v>
          </c:tx>
          <c:spPr>
            <a:ln w="19050">
              <a:noFill/>
            </a:ln>
          </c:spPr>
          <c:xVal>
            <c:numRef>
              <c:f>(Summary!$B$3,Summary!$B$5,Summary!$B$7,Summary!$B$9)</c:f>
              <c:numCache>
                <c:formatCode>General</c:formatCode>
                <c:ptCount val="4"/>
                <c:pt idx="0">
                  <c:v>10000</c:v>
                </c:pt>
                <c:pt idx="1">
                  <c:v>10000</c:v>
                </c:pt>
                <c:pt idx="2">
                  <c:v>400</c:v>
                </c:pt>
                <c:pt idx="3">
                  <c:v>400</c:v>
                </c:pt>
              </c:numCache>
            </c:numRef>
          </c:xVal>
          <c:yVal>
            <c:numRef>
              <c:f>(Summary!$I$3,Summary!$I$5,Summary!$I$7,Summary!$I$9)</c:f>
              <c:numCache>
                <c:formatCode>0.00%</c:formatCode>
                <c:ptCount val="4"/>
                <c:pt idx="0">
                  <c:v>8.1310279328715984E-2</c:v>
                </c:pt>
                <c:pt idx="1">
                  <c:v>3.5690112630725683E-2</c:v>
                </c:pt>
                <c:pt idx="2">
                  <c:v>4.6116087503240887E-2</c:v>
                </c:pt>
                <c:pt idx="3">
                  <c:v>7.826735135171059E-2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5-42DD-B887-912BD849699F}"/>
            </c:ext>
          </c:extLst>
        </c:ser>
        <c:ser>
          <c:idx val="1"/>
          <c:order val="1"/>
          <c:tx>
            <c:v>DR/R0 H2toAir</c:v>
          </c:tx>
          <c:spPr>
            <a:ln w="19050">
              <a:noFill/>
            </a:ln>
          </c:spPr>
          <c:xVal>
            <c:numRef>
              <c:f>(Summary!$B$4,Summary!$B$6,Summary!$B$8,Summary!$B$10)</c:f>
              <c:numCache>
                <c:formatCode>General</c:formatCode>
                <c:ptCount val="4"/>
                <c:pt idx="0">
                  <c:v>10000</c:v>
                </c:pt>
                <c:pt idx="1">
                  <c:v>10000</c:v>
                </c:pt>
                <c:pt idx="2">
                  <c:v>400</c:v>
                </c:pt>
                <c:pt idx="3">
                  <c:v>400</c:v>
                </c:pt>
              </c:numCache>
            </c:numRef>
          </c:xVal>
          <c:yVal>
            <c:numRef>
              <c:f>(Summary!$I$4,Summary!$I$6,Summary!$I$8,Summary!$I$10)</c:f>
              <c:numCache>
                <c:formatCode>0.00%</c:formatCode>
                <c:ptCount val="4"/>
                <c:pt idx="0">
                  <c:v>8.3053834628410136E-2</c:v>
                </c:pt>
                <c:pt idx="1">
                  <c:v>6.2929290860897796E-2</c:v>
                </c:pt>
                <c:pt idx="2">
                  <c:v>7.2858015953668184E-2</c:v>
                </c:pt>
                <c:pt idx="3">
                  <c:v>8.780473631166473E-2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5-42DD-B887-912BD849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90992"/>
        <c:axId val="1149911632"/>
      </c:scatterChart>
      <c:valAx>
        <c:axId val="12228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1632"/>
        <c:crosses val="autoZero"/>
        <c:crossBetween val="midCat"/>
      </c:valAx>
      <c:valAx>
        <c:axId val="1149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909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DR/R0</a:t>
            </a:r>
            <a:r>
              <a:rPr lang="en-GB" baseline="0"/>
              <a:t> vs. Area</a:t>
            </a:r>
            <a:endParaRPr lang="en-GB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(Summary!$C$3,Summary!$C$5,Summary!$C$7,Summary!$C$9)</c:f>
              <c:numCache>
                <c:formatCode>General</c:formatCode>
                <c:ptCount val="4"/>
                <c:pt idx="0">
                  <c:v>500</c:v>
                </c:pt>
                <c:pt idx="1">
                  <c:v>900</c:v>
                </c:pt>
                <c:pt idx="2">
                  <c:v>404</c:v>
                </c:pt>
                <c:pt idx="3">
                  <c:v>1604</c:v>
                </c:pt>
              </c:numCache>
            </c:numRef>
          </c:xVal>
          <c:yVal>
            <c:numRef>
              <c:f>(Summary!$I$3,Summary!$I$5,Summary!$I$7,Summary!$I$9)</c:f>
              <c:numCache>
                <c:formatCode>0.00%</c:formatCode>
                <c:ptCount val="4"/>
                <c:pt idx="0">
                  <c:v>8.1310279328715984E-2</c:v>
                </c:pt>
                <c:pt idx="1">
                  <c:v>3.5690112630725683E-2</c:v>
                </c:pt>
                <c:pt idx="2">
                  <c:v>4.6116087503240887E-2</c:v>
                </c:pt>
                <c:pt idx="3">
                  <c:v>7.826735135171059E-2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DR/R0 AirToH2</c:v>
                </c15:tx>
              </c15:filteredSeriesTitle>
            </c:ext>
            <c:ext xmlns:c16="http://schemas.microsoft.com/office/drawing/2014/chart" uri="{C3380CC4-5D6E-409C-BE32-E72D297353CC}">
              <c16:uniqueId val="{00000002-8A5D-492F-A902-B27C510CF38E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(Summary!$C$4,Summary!$C$6,Summary!$C$8,Summary!$C$10)</c:f>
              <c:numCache>
                <c:formatCode>General</c:formatCode>
                <c:ptCount val="4"/>
                <c:pt idx="0">
                  <c:v>500</c:v>
                </c:pt>
                <c:pt idx="1">
                  <c:v>900</c:v>
                </c:pt>
                <c:pt idx="2">
                  <c:v>404</c:v>
                </c:pt>
                <c:pt idx="3">
                  <c:v>1604</c:v>
                </c:pt>
              </c:numCache>
            </c:numRef>
          </c:xVal>
          <c:yVal>
            <c:numRef>
              <c:f>(Summary!$I$4,Summary!$I$6,Summary!$I$8,Summary!$I$10)</c:f>
              <c:numCache>
                <c:formatCode>0.00%</c:formatCode>
                <c:ptCount val="4"/>
                <c:pt idx="0">
                  <c:v>8.3053834628410136E-2</c:v>
                </c:pt>
                <c:pt idx="1">
                  <c:v>6.2929290860897796E-2</c:v>
                </c:pt>
                <c:pt idx="2">
                  <c:v>7.2858015953668184E-2</c:v>
                </c:pt>
                <c:pt idx="3">
                  <c:v>8.780473631166473E-2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DR/R0 H2toAir</c:v>
                </c15:tx>
              </c15:filteredSeriesTitle>
            </c:ext>
            <c:ext xmlns:c16="http://schemas.microsoft.com/office/drawing/2014/chart" uri="{C3380CC4-5D6E-409C-BE32-E72D297353CC}">
              <c16:uniqueId val="{00000004-8A5D-492F-A902-B27C510C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90992"/>
        <c:axId val="1149911632"/>
      </c:scatterChart>
      <c:valAx>
        <c:axId val="12228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1632"/>
        <c:crosses val="autoZero"/>
        <c:crossBetween val="midCat"/>
      </c:valAx>
      <c:valAx>
        <c:axId val="1149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909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42454</xdr:colOff>
      <xdr:row>10</xdr:row>
      <xdr:rowOff>143691</xdr:rowOff>
    </xdr:from>
    <xdr:to>
      <xdr:col>8</xdr:col>
      <xdr:colOff>92529</xdr:colOff>
      <xdr:row>29</xdr:row>
      <xdr:rowOff>4354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15585-2947-44E9-A058-EA0AB58F1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222069</xdr:colOff>
      <xdr:row>11</xdr:row>
      <xdr:rowOff>133894</xdr:rowOff>
    </xdr:from>
    <xdr:to>
      <xdr:col>12</xdr:col>
      <xdr:colOff>200297</xdr:colOff>
      <xdr:row>29</xdr:row>
      <xdr:rowOff>43542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696BA-84B8-4915-94F1-AB6606D9F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163285</xdr:colOff>
      <xdr:row>11</xdr:row>
      <xdr:rowOff>92529</xdr:rowOff>
    </xdr:from>
    <xdr:to>
      <xdr:col>20</xdr:col>
      <xdr:colOff>468085</xdr:colOff>
      <xdr:row>26</xdr:row>
      <xdr:rowOff>59872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69C599-581D-4C3A-8685-B3E03BEF6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370114</xdr:colOff>
      <xdr:row>11</xdr:row>
      <xdr:rowOff>174171</xdr:rowOff>
    </xdr:from>
    <xdr:to>
      <xdr:col>29</xdr:col>
      <xdr:colOff>65314</xdr:colOff>
      <xdr:row>26</xdr:row>
      <xdr:rowOff>141514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8661BD-AAB8-4ED5-8A0D-C3E95CC9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9BE6E-D96E-447D-BADB-5CDD0228ECE7}" name="Table1" displayName="Table1" ref="A2:K30" totalsRowShown="0">
  <autoFilter ref="A2:K30" xr:uid="{4DAE197E-337D-4384-8BCB-221F7AF7FC6E}">
    <filterColumn colId="1">
      <filters>
        <filter val="1"/>
      </filters>
    </filterColumn>
  </autoFilter>
  <sortState xmlns:xlrd2="http://schemas.microsoft.com/office/spreadsheetml/2017/richdata2" ref="A3:K22">
    <sortCondition ref="A2:A22"/>
  </sortState>
  <tableColumns count="11">
    <tableColumn id="1" xr3:uid="{040893F6-332E-4FC0-B4E9-30D4234357D0}" name="Measurements"/>
    <tableColumn id="7" xr3:uid="{44794E97-A476-4753-9A20-208CF5C0B728}" name="Dev"/>
    <tableColumn id="2" xr3:uid="{D0396E9C-370B-415A-9B5C-B5A0A433D3FB}" name="T (C)"/>
    <tableColumn id="9" xr3:uid="{489B6637-BB50-4C7F-BE59-CFA688DB7947}" name="Type?"/>
    <tableColumn id="3" xr3:uid="{7F1F1110-11E8-406D-9717-7BA958F50B7B}" name="R_air mean" dataDxfId="20"/>
    <tableColumn id="4" xr3:uid="{4DF14033-0500-460F-AE80-7C99EE338485}" name="R_air std" dataDxfId="19"/>
    <tableColumn id="5" xr3:uid="{1949DE0D-5103-4F4B-83AC-80E490C05019}" name="R_h2 mean" dataDxfId="18"/>
    <tableColumn id="6" xr3:uid="{897795B9-5D51-4341-B1FC-8CFACF4FEFAB}" name="R_h2 std" dataDxfId="17"/>
    <tableColumn id="11" xr3:uid="{1AB335F1-C6EC-47B0-9A06-76376CA3D3EB}" name="DR/R0" dataDxfId="16" dataCellStyle="Percent">
      <calculatedColumnFormula>(Table1[[#This Row],[R_air mean]]-Table1[[#This Row],[R_h2 mean]])/Table1[[#This Row],[R_air mean]]</calculatedColumnFormula>
    </tableColumn>
    <tableColumn id="8" xr3:uid="{B31A0DA0-3EB4-4AC7-AC5A-D151263E12B4}" name="Tau ~ (s)" dataDxfId="15"/>
    <tableColumn id="10" xr3:uid="{C37E98D5-783C-47AC-A050-0D300D85448F}" name="Notes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338AD-2C44-4E29-9336-E26845A1C173}" name="Table13" displayName="Table13" ref="A1:K29" totalsRowShown="0">
  <autoFilter ref="A1:K29" xr:uid="{F4B4A62A-CF54-4C9C-8159-1A6BEFE8B802}"/>
  <sortState xmlns:xlrd2="http://schemas.microsoft.com/office/spreadsheetml/2017/richdata2" ref="A2:K29">
    <sortCondition ref="B1:B29"/>
  </sortState>
  <tableColumns count="11">
    <tableColumn id="1" xr3:uid="{FD68A971-7D64-46A8-96FF-E3289FF3C9A1}" name="Measurements"/>
    <tableColumn id="7" xr3:uid="{6EE69C22-3505-4AE6-B155-A2F6A4AD437D}" name="Dev"/>
    <tableColumn id="2" xr3:uid="{784EC2E1-DA18-4169-A4F5-C48390C69545}" name="T (C)"/>
    <tableColumn id="9" xr3:uid="{B6A67B79-7BBE-4A56-83BE-EB720A8503A6}" name="Type?"/>
    <tableColumn id="3" xr3:uid="{966645DD-8AD3-45F6-895A-2FA5C83DD732}" name="R_air mean" dataDxfId="13">
      <calculatedColumnFormula>Ohm!E3 *0.000001</calculatedColumnFormula>
    </tableColumn>
    <tableColumn id="4" xr3:uid="{71458716-1D1C-4F82-84F8-33861FE55480}" name="R_air std" dataDxfId="12">
      <calculatedColumnFormula>Ohm!F3 *0.000001</calculatedColumnFormula>
    </tableColumn>
    <tableColumn id="5" xr3:uid="{95CE5156-364C-4588-BDAE-477958ED0660}" name="R_h2 mean" dataDxfId="11">
      <calculatedColumnFormula>Ohm!G3 *0.000001</calculatedColumnFormula>
    </tableColumn>
    <tableColumn id="6" xr3:uid="{01A494EE-F56E-41B0-8559-CE2FA4F7A621}" name="R_h2 std" dataDxfId="10">
      <calculatedColumnFormula>Ohm!H3 *0.000001</calculatedColumnFormula>
    </tableColumn>
    <tableColumn id="11" xr3:uid="{1779F395-2163-401A-B3F0-C2DCDEE7259E}" name="DR/R0" dataDxfId="9" dataCellStyle="Percent">
      <calculatedColumnFormula>(Table13[[#This Row],[R_air mean]]-Table13[[#This Row],[R_h2 mean]])/Table13[[#This Row],[R_air mean]]</calculatedColumnFormula>
    </tableColumn>
    <tableColumn id="8" xr3:uid="{F8519A5C-6377-4EE5-BD1C-1BBE16966164}" name="Tau ~ (s)" dataDxfId="8"/>
    <tableColumn id="10" xr3:uid="{65E411F5-0073-4542-A98F-9591DBA6DC7C}" name="Notes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AD213-AA6B-4DEF-8B2E-30AD2E4A0657}" name="Table3" displayName="Table3" ref="A3:J11" totalsRowShown="0">
  <autoFilter ref="A3:J11" xr:uid="{2969602E-EF35-4A0D-AA1C-5463E9F01EAB}"/>
  <tableColumns count="10">
    <tableColumn id="1" xr3:uid="{83FED58D-E6A3-450F-8E6B-3659B9B36E44}" name="Device"/>
    <tableColumn id="2" xr3:uid="{8AD3E0ED-0226-43DC-97F8-28A42A5F72C8}" name="Measurement name"/>
    <tableColumn id="7" xr3:uid="{8813891D-42E1-4650-B416-9DE6E847B8D3}" name="R fit + (Ohm)" dataDxfId="6"/>
    <tableColumn id="8" xr3:uid="{B23699C3-B51C-4139-ACC9-E66F2A30EFCC}" name="R std +" dataDxfId="5"/>
    <tableColumn id="3" xr3:uid="{F739BAC3-5B19-4940-AABC-0AC26AFA6846}" name="R fit -" dataDxfId="4"/>
    <tableColumn id="4" xr3:uid="{17D35223-0577-426E-B210-63CCDC8DDCF0}" name="R std -" dataDxfId="3"/>
    <tableColumn id="9" xr3:uid="{7F99A17A-D688-431E-9D2A-F74F66A9FC5A}" name="Rho 300K +" dataDxfId="2">
      <calculatedColumnFormula>Table3[[#This Row],[R fit + (Ohm)]]*$B$1/4*0.0000001</calculatedColumnFormula>
    </tableColumn>
    <tableColumn id="5" xr3:uid="{D4D5B934-16DD-4D19-9D4A-212D95C144C4}" name="Rho 300K -" dataDxfId="1">
      <calculatedColumnFormula>Table3[[#This Row],[R fit -]]*$B$1/4*0.0000001</calculatedColumnFormula>
    </tableColumn>
    <tableColumn id="10" xr3:uid="{9C766DFC-93F3-4817-AD55-CA49A05ACEC5}" name="Rho mean" dataDxfId="0">
      <calculatedColumnFormula>AVERAGE(Table3[[#This Row],[Rho 300K +]:[Rho 300K -]])</calculatedColumnFormula>
    </tableColumn>
    <tableColumn id="6" xr3:uid="{C2CA5BE5-8D22-4A1E-8E11-FA5E26D5F90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281-BFF3-4055-85B5-C421D227D98E}">
  <dimension ref="A1:K30"/>
  <sheetViews>
    <sheetView zoomScale="115" zoomScaleNormal="115" workbookViewId="0">
      <selection activeCell="A38" sqref="A38"/>
    </sheetView>
  </sheetViews>
  <sheetFormatPr defaultRowHeight="14.4" x14ac:dyDescent="0.3"/>
  <cols>
    <col min="1" max="1" width="37.5546875" customWidth="1"/>
    <col min="2" max="2" width="6.44140625" bestFit="1" customWidth="1"/>
    <col min="3" max="3" width="7.109375" bestFit="1" customWidth="1"/>
    <col min="4" max="4" width="8.21875" bestFit="1" customWidth="1"/>
    <col min="5" max="5" width="12.6640625" bestFit="1" customWidth="1"/>
    <col min="6" max="6" width="10.44140625" bestFit="1" customWidth="1"/>
    <col min="7" max="7" width="12.6640625" bestFit="1" customWidth="1"/>
    <col min="8" max="8" width="10.44140625" bestFit="1" customWidth="1"/>
    <col min="9" max="9" width="16" bestFit="1" customWidth="1"/>
    <col min="10" max="10" width="10.33203125" bestFit="1" customWidth="1"/>
    <col min="11" max="11" width="56.21875" bestFit="1" customWidth="1"/>
  </cols>
  <sheetData>
    <row r="1" spans="1:11" x14ac:dyDescent="0.3">
      <c r="A1" t="s">
        <v>16</v>
      </c>
    </row>
    <row r="2" spans="1:11" x14ac:dyDescent="0.3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10</v>
      </c>
      <c r="B3">
        <v>1</v>
      </c>
      <c r="C3">
        <v>65</v>
      </c>
      <c r="D3" t="s">
        <v>12</v>
      </c>
      <c r="E3" s="1">
        <v>8868524.9176470507</v>
      </c>
      <c r="F3" s="1">
        <v>14882.154233855899</v>
      </c>
      <c r="G3" s="1">
        <v>8142612.6700251801</v>
      </c>
      <c r="H3" s="1">
        <v>14193.562823215199</v>
      </c>
      <c r="I3" s="2">
        <f>(Table1[[#This Row],[R_air mean]]-Table1[[#This Row],[R_h2 mean]])/Table1[[#This Row],[R_air mean]]</f>
        <v>8.1852647916387175E-2</v>
      </c>
      <c r="J3" s="3"/>
      <c r="K3" s="1"/>
    </row>
    <row r="4" spans="1:11" x14ac:dyDescent="0.3">
      <c r="A4" t="s">
        <v>13</v>
      </c>
      <c r="B4">
        <v>1</v>
      </c>
      <c r="C4">
        <v>65</v>
      </c>
      <c r="D4" t="s">
        <v>11</v>
      </c>
      <c r="E4" s="1">
        <v>8909899.6571428496</v>
      </c>
      <c r="F4" s="1">
        <v>1993.1419266052801</v>
      </c>
      <c r="G4" s="1">
        <v>8190265.6769230701</v>
      </c>
      <c r="H4" s="1">
        <v>6356.7769472555501</v>
      </c>
      <c r="I4" s="2">
        <f>(Table1[[#This Row],[R_air mean]]-Table1[[#This Row],[R_h2 mean]])/Table1[[#This Row],[R_air mean]]</f>
        <v>8.0767910741044821E-2</v>
      </c>
      <c r="J4" s="3"/>
      <c r="K4" s="1"/>
    </row>
    <row r="5" spans="1:11" x14ac:dyDescent="0.3">
      <c r="A5" t="s">
        <v>14</v>
      </c>
      <c r="B5">
        <v>1</v>
      </c>
      <c r="C5">
        <v>65</v>
      </c>
      <c r="D5" t="s">
        <v>12</v>
      </c>
      <c r="E5" s="1">
        <v>8947918.8000000007</v>
      </c>
      <c r="F5" s="1">
        <v>1329.3949350487901</v>
      </c>
      <c r="G5" s="1">
        <v>8219664.48692152</v>
      </c>
      <c r="H5" s="1">
        <v>19049.579139199101</v>
      </c>
      <c r="I5" s="2">
        <f>(Table1[[#This Row],[R_air mean]]-Table1[[#This Row],[R_h2 mean]])/Table1[[#This Row],[R_air mean]]</f>
        <v>8.1388122685968123E-2</v>
      </c>
      <c r="J5" s="3"/>
      <c r="K5" s="1"/>
    </row>
    <row r="6" spans="1:11" x14ac:dyDescent="0.3">
      <c r="A6" t="s">
        <v>15</v>
      </c>
      <c r="B6">
        <v>1</v>
      </c>
      <c r="C6">
        <v>65</v>
      </c>
      <c r="D6" t="s">
        <v>11</v>
      </c>
      <c r="E6" s="1">
        <v>9032002.8978224397</v>
      </c>
      <c r="F6" s="1">
        <v>13969.384668554099</v>
      </c>
      <c r="G6" s="1">
        <v>8266815.7076923</v>
      </c>
      <c r="H6" s="1">
        <v>5075.3892953320801</v>
      </c>
      <c r="I6" s="2">
        <f>(Table1[[#This Row],[R_air mean]]-Table1[[#This Row],[R_h2 mean]])/Table1[[#This Row],[R_air mean]]</f>
        <v>8.471954657085215E-2</v>
      </c>
      <c r="J6" s="3"/>
      <c r="K6" s="1"/>
    </row>
    <row r="7" spans="1:11" hidden="1" x14ac:dyDescent="0.3">
      <c r="A7" t="s">
        <v>18</v>
      </c>
      <c r="B7">
        <v>4</v>
      </c>
      <c r="C7">
        <v>65</v>
      </c>
      <c r="D7" t="s">
        <v>12</v>
      </c>
      <c r="E7" s="1">
        <v>8793766.1693505198</v>
      </c>
      <c r="F7" s="1">
        <v>14577.030485162601</v>
      </c>
      <c r="G7" s="1">
        <v>6119673.9769970104</v>
      </c>
      <c r="H7" s="1">
        <v>13926.866834611999</v>
      </c>
      <c r="I7" s="2">
        <f>(Table1[[#This Row],[R_air mean]]-Table1[[#This Row],[R_h2 mean]])/Table1[[#This Row],[R_air mean]]</f>
        <v>0.30408952670059564</v>
      </c>
      <c r="J7" s="3"/>
      <c r="K7" s="1"/>
    </row>
    <row r="8" spans="1:11" hidden="1" x14ac:dyDescent="0.3">
      <c r="A8" t="s">
        <v>19</v>
      </c>
      <c r="B8">
        <v>4</v>
      </c>
      <c r="C8">
        <v>65</v>
      </c>
      <c r="D8" t="s">
        <v>11</v>
      </c>
      <c r="E8" s="4">
        <v>16798024.480856899</v>
      </c>
      <c r="F8" s="4">
        <v>707610.49022126303</v>
      </c>
      <c r="G8" s="1">
        <v>6083613.1210723901</v>
      </c>
      <c r="H8" s="1">
        <v>19567.6197572241</v>
      </c>
      <c r="I8" s="5">
        <f>(Table1[[#This Row],[R_air mean]]-Table1[[#This Row],[R_h2 mean]])/Table1[[#This Row],[R_air mean]]</f>
        <v>0.63783758453231798</v>
      </c>
      <c r="J8" s="3"/>
      <c r="K8" s="1" t="s">
        <v>22</v>
      </c>
    </row>
    <row r="9" spans="1:11" hidden="1" x14ac:dyDescent="0.3">
      <c r="A9" t="s">
        <v>20</v>
      </c>
      <c r="B9">
        <v>4</v>
      </c>
      <c r="C9">
        <v>65</v>
      </c>
      <c r="D9" t="s">
        <v>12</v>
      </c>
      <c r="E9" s="1" t="s">
        <v>31</v>
      </c>
      <c r="F9" s="1" t="s">
        <v>31</v>
      </c>
      <c r="G9" s="1" t="s">
        <v>31</v>
      </c>
      <c r="H9" s="1" t="s">
        <v>31</v>
      </c>
      <c r="I9" s="2" t="e">
        <f>(Table1[[#This Row],[R_air mean]]-Table1[[#This Row],[R_h2 mean]])/Table1[[#This Row],[R_air mean]]</f>
        <v>#VALUE!</v>
      </c>
      <c r="J9" s="3"/>
      <c r="K9" s="1" t="s">
        <v>23</v>
      </c>
    </row>
    <row r="10" spans="1:11" hidden="1" x14ac:dyDescent="0.3">
      <c r="A10" t="s">
        <v>21</v>
      </c>
      <c r="B10">
        <v>4</v>
      </c>
      <c r="C10">
        <v>65</v>
      </c>
      <c r="D10" t="s">
        <v>11</v>
      </c>
      <c r="E10" s="1" t="s">
        <v>31</v>
      </c>
      <c r="F10" s="1" t="s">
        <v>31</v>
      </c>
      <c r="G10" s="1" t="s">
        <v>31</v>
      </c>
      <c r="H10" s="1" t="s">
        <v>31</v>
      </c>
      <c r="I10" s="2" t="e">
        <f>(Table1[[#This Row],[R_air mean]]-Table1[[#This Row],[R_h2 mean]])/Table1[[#This Row],[R_air mean]]</f>
        <v>#VALUE!</v>
      </c>
      <c r="J10" s="3"/>
      <c r="K10" s="1" t="s">
        <v>23</v>
      </c>
    </row>
    <row r="11" spans="1:11" hidden="1" x14ac:dyDescent="0.3">
      <c r="A11" t="s">
        <v>25</v>
      </c>
      <c r="B11">
        <v>7</v>
      </c>
      <c r="C11">
        <v>65</v>
      </c>
      <c r="D11" t="s">
        <v>12</v>
      </c>
      <c r="E11" s="1">
        <v>10288863.9859936</v>
      </c>
      <c r="F11" s="1">
        <v>124544.70184747</v>
      </c>
      <c r="G11" s="1">
        <v>10057060.184713</v>
      </c>
      <c r="H11" s="1">
        <v>75403.803512114595</v>
      </c>
      <c r="I11" s="2">
        <f>(Table1[[#This Row],[R_air mean]]-Table1[[#This Row],[R_h2 mean]])/Table1[[#This Row],[R_air mean]]</f>
        <v>2.2529581652178259E-2</v>
      </c>
      <c r="J11" s="3"/>
      <c r="K11" s="1" t="s">
        <v>24</v>
      </c>
    </row>
    <row r="12" spans="1:11" hidden="1" x14ac:dyDescent="0.3">
      <c r="A12" t="s">
        <v>26</v>
      </c>
      <c r="B12">
        <v>7</v>
      </c>
      <c r="C12">
        <v>65</v>
      </c>
      <c r="D12" t="s">
        <v>11</v>
      </c>
      <c r="E12" s="1">
        <v>10787386.114065001</v>
      </c>
      <c r="F12" s="1">
        <v>45491.023521859097</v>
      </c>
      <c r="G12" s="1">
        <v>10207417.001160501</v>
      </c>
      <c r="H12" s="1">
        <v>42100.315387586401</v>
      </c>
      <c r="I12" s="2">
        <f>(Table1[[#This Row],[R_air mean]]-Table1[[#This Row],[R_h2 mean]])/Table1[[#This Row],[R_air mean]]</f>
        <v>5.3763637156578149E-2</v>
      </c>
      <c r="J12" s="3"/>
      <c r="K12" s="1"/>
    </row>
    <row r="13" spans="1:11" hidden="1" x14ac:dyDescent="0.3">
      <c r="A13" t="s">
        <v>27</v>
      </c>
      <c r="B13">
        <v>7</v>
      </c>
      <c r="C13">
        <v>65</v>
      </c>
      <c r="D13" t="s">
        <v>12</v>
      </c>
      <c r="E13" s="1">
        <v>10779695.222552299</v>
      </c>
      <c r="F13" s="1">
        <v>25674.4277479415</v>
      </c>
      <c r="G13" s="1">
        <v>10286151.647496101</v>
      </c>
      <c r="H13" s="1">
        <v>47124.531053182101</v>
      </c>
      <c r="I13" s="2">
        <f>(Table1[[#This Row],[R_air mean]]-Table1[[#This Row],[R_h2 mean]])/Table1[[#This Row],[R_air mean]]</f>
        <v>4.5784557435691868E-2</v>
      </c>
      <c r="J13" s="3"/>
      <c r="K13" s="1"/>
    </row>
    <row r="14" spans="1:11" hidden="1" x14ac:dyDescent="0.3">
      <c r="A14" t="s">
        <v>28</v>
      </c>
      <c r="B14">
        <v>7</v>
      </c>
      <c r="C14">
        <v>65</v>
      </c>
      <c r="D14" t="s">
        <v>11</v>
      </c>
      <c r="E14" s="1">
        <v>11196385.182871601</v>
      </c>
      <c r="F14" s="1">
        <v>47309.785482806597</v>
      </c>
      <c r="G14" s="1">
        <v>10334018.010497101</v>
      </c>
      <c r="H14" s="1">
        <v>52360.077705779302</v>
      </c>
      <c r="I14" s="2">
        <f>(Table1[[#This Row],[R_air mean]]-Table1[[#This Row],[R_h2 mean]])/Table1[[#This Row],[R_air mean]]</f>
        <v>7.7021927907032203E-2</v>
      </c>
      <c r="J14" s="3"/>
      <c r="K14" s="1" t="s">
        <v>30</v>
      </c>
    </row>
    <row r="15" spans="1:11" hidden="1" x14ac:dyDescent="0.3">
      <c r="A15" t="s">
        <v>32</v>
      </c>
      <c r="B15">
        <v>7</v>
      </c>
      <c r="C15">
        <v>65</v>
      </c>
      <c r="D15" t="s">
        <v>12</v>
      </c>
      <c r="E15" s="1">
        <v>18135314.2480198</v>
      </c>
      <c r="F15" s="1">
        <v>45941.161155376198</v>
      </c>
      <c r="G15" s="1">
        <v>16865223.411679901</v>
      </c>
      <c r="H15" s="1">
        <v>138213.48776862901</v>
      </c>
      <c r="I15" s="2">
        <f>(Table1[[#This Row],[R_air mean]]-Table1[[#This Row],[R_h2 mean]])/Table1[[#This Row],[R_air mean]]</f>
        <v>7.0034123421852473E-2</v>
      </c>
      <c r="J15" s="3"/>
      <c r="K15" s="1" t="s">
        <v>33</v>
      </c>
    </row>
    <row r="16" spans="1:11" hidden="1" x14ac:dyDescent="0.3">
      <c r="A16" t="s">
        <v>29</v>
      </c>
      <c r="B16">
        <v>7</v>
      </c>
      <c r="C16">
        <v>65</v>
      </c>
      <c r="D16" t="s">
        <v>11</v>
      </c>
      <c r="E16" s="1">
        <v>18744592.724940501</v>
      </c>
      <c r="F16" s="1">
        <v>68405.704133084495</v>
      </c>
      <c r="G16" s="1">
        <v>17099033.368962899</v>
      </c>
      <c r="H16" s="1">
        <v>96072.747507406399</v>
      </c>
      <c r="I16" s="2">
        <f>(Table1[[#This Row],[R_air mean]]-Table1[[#This Row],[R_h2 mean]])/Table1[[#This Row],[R_air mean]]</f>
        <v>8.7788482797394346E-2</v>
      </c>
      <c r="J16" s="3"/>
      <c r="K16" s="1"/>
    </row>
    <row r="17" spans="1:11" hidden="1" x14ac:dyDescent="0.3">
      <c r="A17" t="s">
        <v>34</v>
      </c>
      <c r="B17">
        <v>9</v>
      </c>
      <c r="C17">
        <v>65</v>
      </c>
      <c r="D17" t="s">
        <v>12</v>
      </c>
      <c r="E17" s="1">
        <v>2542955.9790085498</v>
      </c>
      <c r="F17" s="1">
        <v>4241.8746271289401</v>
      </c>
      <c r="G17" s="1">
        <v>2331147.3577138502</v>
      </c>
      <c r="H17" s="1">
        <v>2579.4502565571802</v>
      </c>
      <c r="I17" s="2">
        <f>(Table1[[#This Row],[R_air mean]]-Table1[[#This Row],[R_h2 mean]])/Table1[[#This Row],[R_air mean]]</f>
        <v>8.3292287811163671E-2</v>
      </c>
      <c r="J17" s="3"/>
      <c r="K17" s="1"/>
    </row>
    <row r="18" spans="1:11" hidden="1" x14ac:dyDescent="0.3">
      <c r="A18" t="s">
        <v>35</v>
      </c>
      <c r="B18">
        <v>9</v>
      </c>
      <c r="C18">
        <v>65</v>
      </c>
      <c r="D18" t="s">
        <v>11</v>
      </c>
      <c r="E18" s="1">
        <v>2553655.1659775502</v>
      </c>
      <c r="F18" s="1">
        <v>1952.5559451474101</v>
      </c>
      <c r="G18" s="1">
        <v>2334367.25332824</v>
      </c>
      <c r="H18" s="1">
        <v>1236.8732579943901</v>
      </c>
      <c r="I18" s="2">
        <f>(Table1[[#This Row],[R_air mean]]-Table1[[#This Row],[R_h2 mean]])/Table1[[#This Row],[R_air mean]]</f>
        <v>8.58721708282668E-2</v>
      </c>
      <c r="J18" s="3"/>
      <c r="K18" s="1"/>
    </row>
    <row r="19" spans="1:11" hidden="1" x14ac:dyDescent="0.3">
      <c r="A19" t="s">
        <v>36</v>
      </c>
      <c r="B19">
        <v>9</v>
      </c>
      <c r="C19">
        <v>65</v>
      </c>
      <c r="D19" t="s">
        <v>12</v>
      </c>
      <c r="E19" s="1">
        <v>2564332.4733790699</v>
      </c>
      <c r="F19" s="1">
        <v>3721.34190369724</v>
      </c>
      <c r="G19" s="1">
        <v>2367506.94164926</v>
      </c>
      <c r="H19" s="1">
        <v>2218.1131116511201</v>
      </c>
      <c r="I19" s="2">
        <f>(Table1[[#This Row],[R_air mean]]-Table1[[#This Row],[R_h2 mean]])/Table1[[#This Row],[R_air mean]]</f>
        <v>7.675507516014457E-2</v>
      </c>
      <c r="J19" s="3"/>
      <c r="K19" s="1"/>
    </row>
    <row r="20" spans="1:11" hidden="1" x14ac:dyDescent="0.3">
      <c r="A20" t="s">
        <v>37</v>
      </c>
      <c r="B20">
        <v>9</v>
      </c>
      <c r="C20">
        <v>65</v>
      </c>
      <c r="D20" t="s">
        <v>11</v>
      </c>
      <c r="E20" s="1">
        <v>2590919.6586073502</v>
      </c>
      <c r="F20" s="1">
        <v>2994.8152324009502</v>
      </c>
      <c r="G20" s="1">
        <v>2370752.0045141401</v>
      </c>
      <c r="H20" s="1">
        <v>1565.26878010002</v>
      </c>
      <c r="I20" s="2">
        <f>(Table1[[#This Row],[R_air mean]]-Table1[[#This Row],[R_h2 mean]])/Table1[[#This Row],[R_air mean]]</f>
        <v>8.4976642699740382E-2</v>
      </c>
      <c r="J20" s="3"/>
      <c r="K20" s="1"/>
    </row>
    <row r="21" spans="1:11" hidden="1" x14ac:dyDescent="0.3">
      <c r="A21" t="s">
        <v>38</v>
      </c>
      <c r="B21">
        <v>9</v>
      </c>
      <c r="C21">
        <v>65</v>
      </c>
      <c r="D21" t="s">
        <v>12</v>
      </c>
      <c r="E21" s="1">
        <v>2601902.89423696</v>
      </c>
      <c r="F21" s="1">
        <v>4979.3292786432103</v>
      </c>
      <c r="G21" s="1">
        <v>2407398.4471481699</v>
      </c>
      <c r="H21" s="1">
        <v>2276.01815290584</v>
      </c>
      <c r="I21" s="2">
        <f>(Table1[[#This Row],[R_air mean]]-Table1[[#This Row],[R_h2 mean]])/Table1[[#This Row],[R_air mean]]</f>
        <v>7.475469108382346E-2</v>
      </c>
      <c r="J21" s="3"/>
      <c r="K21" s="1"/>
    </row>
    <row r="22" spans="1:11" hidden="1" x14ac:dyDescent="0.3">
      <c r="A22" t="s">
        <v>39</v>
      </c>
      <c r="B22">
        <v>9</v>
      </c>
      <c r="C22">
        <v>65</v>
      </c>
      <c r="D22" t="s">
        <v>11</v>
      </c>
      <c r="E22" s="1">
        <v>2620369.83365385</v>
      </c>
      <c r="F22" s="1">
        <v>1515.5404180523001</v>
      </c>
      <c r="G22" s="1">
        <v>2377814.26388914</v>
      </c>
      <c r="H22" s="1">
        <v>5922.46459031421</v>
      </c>
      <c r="I22" s="2">
        <f>(Table1[[#This Row],[R_air mean]]-Table1[[#This Row],[R_h2 mean]])/Table1[[#This Row],[R_air mean]]</f>
        <v>9.2565395406987244E-2</v>
      </c>
      <c r="J22" s="3"/>
      <c r="K22" s="1"/>
    </row>
    <row r="23" spans="1:11" hidden="1" x14ac:dyDescent="0.3">
      <c r="A23" s="9" t="s">
        <v>47</v>
      </c>
      <c r="B23">
        <v>2</v>
      </c>
      <c r="C23" s="9">
        <v>25</v>
      </c>
      <c r="D23" s="9" t="s">
        <v>48</v>
      </c>
      <c r="E23" s="10">
        <v>62689812.311584704</v>
      </c>
      <c r="F23" s="10">
        <v>6013914.86999497</v>
      </c>
      <c r="G23" s="10">
        <v>63324920.011906803</v>
      </c>
      <c r="H23" s="10">
        <v>794847.64240334195</v>
      </c>
      <c r="I23" s="2">
        <f>(Table1[[#This Row],[R_air mean]]-Table1[[#This Row],[R_h2 mean]])/Table1[[#This Row],[R_air mean]]</f>
        <v>-1.0130955523769129E-2</v>
      </c>
      <c r="J23" s="16">
        <v>0</v>
      </c>
      <c r="K23" s="10" t="s">
        <v>49</v>
      </c>
    </row>
    <row r="24" spans="1:11" hidden="1" x14ac:dyDescent="0.3">
      <c r="A24" s="11" t="s">
        <v>50</v>
      </c>
      <c r="B24">
        <v>2</v>
      </c>
      <c r="C24" s="11">
        <v>25</v>
      </c>
      <c r="D24" s="11" t="s">
        <v>51</v>
      </c>
      <c r="E24" s="4">
        <v>64014178.065398604</v>
      </c>
      <c r="F24" s="4">
        <v>992719.21797035099</v>
      </c>
      <c r="G24" s="4">
        <v>63709655.430147499</v>
      </c>
      <c r="H24" s="4">
        <v>541543.70859561604</v>
      </c>
      <c r="I24" s="2">
        <f>(Table1[[#This Row],[R_air mean]]-Table1[[#This Row],[R_h2 mean]])/Table1[[#This Row],[R_air mean]]</f>
        <v>4.7571123218983821E-3</v>
      </c>
      <c r="J24" s="17">
        <v>0</v>
      </c>
      <c r="K24" s="4" t="s">
        <v>49</v>
      </c>
    </row>
    <row r="25" spans="1:11" hidden="1" x14ac:dyDescent="0.3">
      <c r="A25" s="12" t="s">
        <v>52</v>
      </c>
      <c r="B25">
        <v>2</v>
      </c>
      <c r="C25" s="12">
        <v>65</v>
      </c>
      <c r="D25" s="12" t="s">
        <v>48</v>
      </c>
      <c r="E25" s="1" t="s">
        <v>31</v>
      </c>
      <c r="F25" s="1" t="s">
        <v>31</v>
      </c>
      <c r="G25" s="1" t="s">
        <v>31</v>
      </c>
      <c r="H25" s="1" t="s">
        <v>31</v>
      </c>
      <c r="I25" s="2" t="e">
        <f>(Table1[[#This Row],[R_air mean]]-Table1[[#This Row],[R_h2 mean]])/Table1[[#This Row],[R_air mean]]</f>
        <v>#VALUE!</v>
      </c>
      <c r="J25" s="18">
        <v>0</v>
      </c>
      <c r="K25" s="13" t="s">
        <v>53</v>
      </c>
    </row>
    <row r="26" spans="1:11" hidden="1" x14ac:dyDescent="0.3">
      <c r="A26" t="s">
        <v>54</v>
      </c>
      <c r="B26">
        <v>2</v>
      </c>
      <c r="C26">
        <v>65</v>
      </c>
      <c r="D26" t="s">
        <v>51</v>
      </c>
      <c r="E26" s="1" t="s">
        <v>31</v>
      </c>
      <c r="F26" s="1" t="s">
        <v>31</v>
      </c>
      <c r="G26" s="1" t="s">
        <v>31</v>
      </c>
      <c r="H26" s="1" t="s">
        <v>31</v>
      </c>
      <c r="I26" s="2" t="e">
        <f>(Table1[[#This Row],[R_air mean]]-Table1[[#This Row],[R_h2 mean]])/Table1[[#This Row],[R_air mean]]</f>
        <v>#VALUE!</v>
      </c>
      <c r="J26" s="19">
        <v>0</v>
      </c>
      <c r="K26" s="1" t="s">
        <v>55</v>
      </c>
    </row>
    <row r="27" spans="1:11" hidden="1" x14ac:dyDescent="0.3">
      <c r="A27" s="12" t="s">
        <v>56</v>
      </c>
      <c r="B27">
        <v>2</v>
      </c>
      <c r="C27" s="12">
        <v>65</v>
      </c>
      <c r="D27" s="12" t="s">
        <v>48</v>
      </c>
      <c r="E27" s="13">
        <v>32421830.334672499</v>
      </c>
      <c r="F27" s="13">
        <v>90178.740635860406</v>
      </c>
      <c r="G27" s="13">
        <v>30860638.5452247</v>
      </c>
      <c r="H27" s="13">
        <v>89255.763927034495</v>
      </c>
      <c r="I27" s="2">
        <f>(Table1[[#This Row],[R_air mean]]-Table1[[#This Row],[R_h2 mean]])/Table1[[#This Row],[R_air mean]]</f>
        <v>4.8152487793948887E-2</v>
      </c>
      <c r="J27" s="18">
        <v>1</v>
      </c>
      <c r="K27" s="13"/>
    </row>
    <row r="28" spans="1:11" hidden="1" x14ac:dyDescent="0.3">
      <c r="A28" t="s">
        <v>57</v>
      </c>
      <c r="B28">
        <v>2</v>
      </c>
      <c r="C28">
        <v>65</v>
      </c>
      <c r="D28" t="s">
        <v>51</v>
      </c>
      <c r="E28" s="1">
        <v>32454968.568061601</v>
      </c>
      <c r="F28" s="1">
        <v>112426.594029928</v>
      </c>
      <c r="G28" s="1">
        <v>30977200.7842176</v>
      </c>
      <c r="H28" s="1">
        <v>79306.230025140801</v>
      </c>
      <c r="I28" s="2">
        <f>(Table1[[#This Row],[R_air mean]]-Table1[[#This Row],[R_h2 mean]])/Table1[[#This Row],[R_air mean]]</f>
        <v>4.5532867509791658E-2</v>
      </c>
      <c r="J28" s="19">
        <v>1</v>
      </c>
      <c r="K28" s="1"/>
    </row>
    <row r="29" spans="1:11" hidden="1" x14ac:dyDescent="0.3">
      <c r="A29" s="12" t="s">
        <v>58</v>
      </c>
      <c r="B29">
        <v>2</v>
      </c>
      <c r="C29" s="12">
        <v>65</v>
      </c>
      <c r="D29" s="12" t="s">
        <v>48</v>
      </c>
      <c r="E29" s="13">
        <v>24100060.563474901</v>
      </c>
      <c r="F29" s="13">
        <v>89554.273682271494</v>
      </c>
      <c r="G29" s="13">
        <v>23540270.683755599</v>
      </c>
      <c r="H29" s="13">
        <v>17539.001502428298</v>
      </c>
      <c r="I29" s="2">
        <f>(Table1[[#This Row],[R_air mean]]-Table1[[#This Row],[R_h2 mean]])/Table1[[#This Row],[R_air mean]]</f>
        <v>2.3227737467502362E-2</v>
      </c>
      <c r="J29" s="18">
        <v>2</v>
      </c>
      <c r="K29" s="13"/>
    </row>
    <row r="30" spans="1:11" hidden="1" x14ac:dyDescent="0.3">
      <c r="A30" s="14" t="s">
        <v>59</v>
      </c>
      <c r="B30">
        <v>2</v>
      </c>
      <c r="C30" s="14">
        <v>65</v>
      </c>
      <c r="D30" s="14" t="s">
        <v>51</v>
      </c>
      <c r="E30" s="15">
        <v>25065192.704694599</v>
      </c>
      <c r="F30" s="15">
        <v>83795.897871507404</v>
      </c>
      <c r="G30" s="15">
        <v>23051813.1988285</v>
      </c>
      <c r="H30" s="15">
        <v>35670.959254690599</v>
      </c>
      <c r="I30" s="2">
        <f>(Table1[[#This Row],[R_air mean]]-Table1[[#This Row],[R_h2 mean]])/Table1[[#This Row],[R_air mean]]</f>
        <v>8.0325714212003727E-2</v>
      </c>
      <c r="J30" s="20">
        <v>1</v>
      </c>
      <c r="K30" s="15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6AC5-8A00-49F5-AC80-6AA9165FC44A}">
  <dimension ref="A1:K51"/>
  <sheetViews>
    <sheetView zoomScaleNormal="100" workbookViewId="0">
      <selection activeCell="K33" sqref="K33"/>
    </sheetView>
  </sheetViews>
  <sheetFormatPr defaultRowHeight="14.4" x14ac:dyDescent="0.3"/>
  <cols>
    <col min="1" max="1" width="35.6640625" bestFit="1" customWidth="1"/>
    <col min="2" max="2" width="6.44140625" bestFit="1" customWidth="1"/>
    <col min="3" max="3" width="7.109375" bestFit="1" customWidth="1"/>
    <col min="4" max="4" width="9.33203125" bestFit="1" customWidth="1"/>
    <col min="5" max="5" width="12.6640625" bestFit="1" customWidth="1"/>
    <col min="6" max="6" width="10.44140625" bestFit="1" customWidth="1"/>
    <col min="7" max="7" width="12.6640625" bestFit="1" customWidth="1"/>
    <col min="8" max="8" width="10.44140625" bestFit="1" customWidth="1"/>
    <col min="9" max="9" width="11.88671875" bestFit="1" customWidth="1"/>
    <col min="10" max="10" width="10.33203125" bestFit="1" customWidth="1"/>
    <col min="11" max="11" width="60.5546875" bestFit="1" customWidth="1"/>
  </cols>
  <sheetData>
    <row r="1" spans="1:11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65</v>
      </c>
      <c r="D2" t="s">
        <v>12</v>
      </c>
      <c r="E2" s="3">
        <f>Ohm!E3 *0.000001</f>
        <v>8.8685249176470506</v>
      </c>
      <c r="F2" s="1">
        <f>Ohm!F3 *0.000001</f>
        <v>1.4882154233855898E-2</v>
      </c>
      <c r="G2" s="3">
        <f>Ohm!G3 *0.000001</f>
        <v>8.14261267002518</v>
      </c>
      <c r="H2" s="1">
        <f>Ohm!H3 *0.000001</f>
        <v>1.4193562823215199E-2</v>
      </c>
      <c r="I2" s="2">
        <f>(Table13[[#This Row],[R_air mean]]-Table13[[#This Row],[R_h2 mean]])/Table13[[#This Row],[R_air mean]]</f>
        <v>8.1852647916387189E-2</v>
      </c>
      <c r="J2" s="3"/>
      <c r="K2" s="1"/>
    </row>
    <row r="3" spans="1:11" x14ac:dyDescent="0.3">
      <c r="A3" t="s">
        <v>13</v>
      </c>
      <c r="B3">
        <v>1</v>
      </c>
      <c r="C3">
        <v>65</v>
      </c>
      <c r="D3" t="s">
        <v>11</v>
      </c>
      <c r="E3" s="3">
        <f>Ohm!E5 *0.000001</f>
        <v>8.9479188000000001</v>
      </c>
      <c r="F3" s="1">
        <f>Ohm!F5 *0.000001</f>
        <v>1.3293949350487902E-3</v>
      </c>
      <c r="G3" s="3">
        <f>Ohm!G5 *0.000001</f>
        <v>8.2196644869215199</v>
      </c>
      <c r="H3" s="1">
        <f>Ohm!H5 *0.000001</f>
        <v>1.9049579139199101E-2</v>
      </c>
      <c r="I3" s="2">
        <f>(Table13[[#This Row],[R_air mean]]-Table13[[#This Row],[R_h2 mean]])/Table13[[#This Row],[R_air mean]]</f>
        <v>8.1388122685968067E-2</v>
      </c>
      <c r="J3" s="3"/>
      <c r="K3" s="1"/>
    </row>
    <row r="4" spans="1:11" x14ac:dyDescent="0.3">
      <c r="A4" t="s">
        <v>14</v>
      </c>
      <c r="B4">
        <v>1</v>
      </c>
      <c r="C4">
        <v>65</v>
      </c>
      <c r="D4" t="s">
        <v>12</v>
      </c>
      <c r="E4" s="3">
        <f>Ohm!E4 *0.000001</f>
        <v>8.9098996571428497</v>
      </c>
      <c r="F4" s="1">
        <f>Ohm!F4 *0.000001</f>
        <v>1.9931419266052798E-3</v>
      </c>
      <c r="G4" s="3">
        <f>Ohm!G4 *0.000001</f>
        <v>8.1902656769230706</v>
      </c>
      <c r="H4" s="1">
        <f>Ohm!H4 *0.000001</f>
        <v>6.3567769472555498E-3</v>
      </c>
      <c r="I4" s="2">
        <f>(Table13[[#This Row],[R_air mean]]-Table13[[#This Row],[R_h2 mean]])/Table13[[#This Row],[R_air mean]]</f>
        <v>8.0767910741044766E-2</v>
      </c>
      <c r="J4" s="3"/>
      <c r="K4" s="1"/>
    </row>
    <row r="5" spans="1:11" x14ac:dyDescent="0.3">
      <c r="A5" t="s">
        <v>15</v>
      </c>
      <c r="B5">
        <v>1</v>
      </c>
      <c r="C5">
        <v>65</v>
      </c>
      <c r="D5" t="s">
        <v>11</v>
      </c>
      <c r="E5" s="3">
        <f>Ohm!E6 *0.000001</f>
        <v>9.0320028978224389</v>
      </c>
      <c r="F5" s="1">
        <f>Ohm!F6 *0.000001</f>
        <v>1.3969384668554099E-2</v>
      </c>
      <c r="G5" s="3">
        <f>Ohm!G6 *0.000001</f>
        <v>8.2668157076922988</v>
      </c>
      <c r="H5" s="1">
        <f>Ohm!H6 *0.000001</f>
        <v>5.0753892953320796E-3</v>
      </c>
      <c r="I5" s="2">
        <f>(Table13[[#This Row],[R_air mean]]-Table13[[#This Row],[R_h2 mean]])/Table13[[#This Row],[R_air mean]]</f>
        <v>8.4719546570852206E-2</v>
      </c>
      <c r="J5" s="3"/>
      <c r="K5" s="1"/>
    </row>
    <row r="6" spans="1:11" x14ac:dyDescent="0.3">
      <c r="A6" s="21" t="s">
        <v>47</v>
      </c>
      <c r="B6" s="22">
        <v>2</v>
      </c>
      <c r="C6" s="21">
        <v>25</v>
      </c>
      <c r="D6" s="21" t="s">
        <v>48</v>
      </c>
      <c r="E6" s="3">
        <f>Ohm!E23 *0.000001</f>
        <v>62.689812311584703</v>
      </c>
      <c r="F6" s="1">
        <f>Ohm!F23 *0.000001</f>
        <v>6.01391486999497</v>
      </c>
      <c r="G6" s="3">
        <f>Ohm!G23 *0.000001</f>
        <v>63.324920011906798</v>
      </c>
      <c r="H6" s="1">
        <f>Ohm!H23 *0.000001</f>
        <v>0.79484764240334194</v>
      </c>
      <c r="I6" s="2">
        <f>(Table13[[#This Row],[R_air mean]]-Table13[[#This Row],[R_h2 mean]])/Table13[[#This Row],[R_air mean]]</f>
        <v>-1.0130955523769067E-2</v>
      </c>
      <c r="J6" s="24">
        <v>0</v>
      </c>
      <c r="K6" s="23" t="s">
        <v>49</v>
      </c>
    </row>
    <row r="7" spans="1:11" x14ac:dyDescent="0.3">
      <c r="A7" s="22" t="s">
        <v>50</v>
      </c>
      <c r="B7" s="22">
        <v>2</v>
      </c>
      <c r="C7" s="22">
        <v>25</v>
      </c>
      <c r="D7" s="22" t="s">
        <v>51</v>
      </c>
      <c r="E7" s="3">
        <f>Ohm!E24 *0.000001</f>
        <v>64.014178065398596</v>
      </c>
      <c r="F7" s="1">
        <f>Ohm!F24 *0.000001</f>
        <v>0.9927192179703509</v>
      </c>
      <c r="G7" s="3">
        <f>Ohm!G24 *0.000001</f>
        <v>63.709655430147492</v>
      </c>
      <c r="H7" s="1">
        <f>Ohm!H24 *0.000001</f>
        <v>0.54154370859561607</v>
      </c>
      <c r="I7" s="2">
        <f>(Table13[[#This Row],[R_air mean]]-Table13[[#This Row],[R_h2 mean]])/Table13[[#This Row],[R_air mean]]</f>
        <v>4.7571123218983647E-3</v>
      </c>
      <c r="J7" s="26">
        <v>0</v>
      </c>
      <c r="K7" s="25" t="s">
        <v>49</v>
      </c>
    </row>
    <row r="8" spans="1:11" x14ac:dyDescent="0.3">
      <c r="A8" s="12" t="s">
        <v>52</v>
      </c>
      <c r="B8">
        <v>2</v>
      </c>
      <c r="C8" s="12">
        <v>65</v>
      </c>
      <c r="D8" s="12" t="s">
        <v>48</v>
      </c>
      <c r="E8" s="7" t="s">
        <v>31</v>
      </c>
      <c r="F8" s="6" t="s">
        <v>31</v>
      </c>
      <c r="G8" s="7" t="s">
        <v>31</v>
      </c>
      <c r="H8" s="6" t="s">
        <v>31</v>
      </c>
      <c r="I8" s="2" t="e">
        <f>(Table13[[#This Row],[R_air mean]]-Table13[[#This Row],[R_h2 mean]])/Table13[[#This Row],[R_air mean]]</f>
        <v>#VALUE!</v>
      </c>
      <c r="J8" s="18">
        <v>0</v>
      </c>
      <c r="K8" s="13" t="s">
        <v>53</v>
      </c>
    </row>
    <row r="9" spans="1:11" x14ac:dyDescent="0.3">
      <c r="A9" t="s">
        <v>54</v>
      </c>
      <c r="B9">
        <v>2</v>
      </c>
      <c r="C9">
        <v>65</v>
      </c>
      <c r="D9" t="s">
        <v>51</v>
      </c>
      <c r="E9" s="7" t="s">
        <v>31</v>
      </c>
      <c r="F9" s="6" t="s">
        <v>31</v>
      </c>
      <c r="G9" s="7" t="s">
        <v>31</v>
      </c>
      <c r="H9" s="6" t="s">
        <v>31</v>
      </c>
      <c r="I9" s="2" t="e">
        <f>(Table13[[#This Row],[R_air mean]]-Table13[[#This Row],[R_h2 mean]])/Table13[[#This Row],[R_air mean]]</f>
        <v>#VALUE!</v>
      </c>
      <c r="J9" s="19">
        <v>0</v>
      </c>
      <c r="K9" s="1" t="s">
        <v>55</v>
      </c>
    </row>
    <row r="10" spans="1:11" x14ac:dyDescent="0.3">
      <c r="A10" s="12" t="s">
        <v>56</v>
      </c>
      <c r="B10">
        <v>2</v>
      </c>
      <c r="C10" s="12">
        <v>65</v>
      </c>
      <c r="D10" s="12" t="s">
        <v>48</v>
      </c>
      <c r="E10" s="3">
        <f>Ohm!E27 *0.000001</f>
        <v>32.421830334672499</v>
      </c>
      <c r="F10" s="1">
        <f>Ohm!F27 *0.000001</f>
        <v>9.0178740635860399E-2</v>
      </c>
      <c r="G10" s="3">
        <f>Ohm!G27 *0.000001</f>
        <v>30.860638545224699</v>
      </c>
      <c r="H10" s="1">
        <f>Ohm!H27 *0.000001</f>
        <v>8.9255763927034493E-2</v>
      </c>
      <c r="I10" s="2">
        <f>(Table13[[#This Row],[R_air mean]]-Table13[[#This Row],[R_h2 mean]])/Table13[[#This Row],[R_air mean]]</f>
        <v>4.8152487793948921E-2</v>
      </c>
      <c r="J10" s="18">
        <v>1</v>
      </c>
      <c r="K10" s="13"/>
    </row>
    <row r="11" spans="1:11" x14ac:dyDescent="0.3">
      <c r="A11" t="s">
        <v>57</v>
      </c>
      <c r="B11">
        <v>2</v>
      </c>
      <c r="C11">
        <v>65</v>
      </c>
      <c r="D11" t="s">
        <v>51</v>
      </c>
      <c r="E11" s="3">
        <f>Ohm!E28 *0.000001</f>
        <v>32.454968568061602</v>
      </c>
      <c r="F11" s="1">
        <f>Ohm!F28 *0.000001</f>
        <v>0.112426594029928</v>
      </c>
      <c r="G11" s="3">
        <f>Ohm!G28 *0.000001</f>
        <v>30.977200784217597</v>
      </c>
      <c r="H11" s="1">
        <f>Ohm!H28 *0.000001</f>
        <v>7.9306230025140798E-2</v>
      </c>
      <c r="I11" s="2">
        <f>(Table13[[#This Row],[R_air mean]]-Table13[[#This Row],[R_h2 mean]])/Table13[[#This Row],[R_air mean]]</f>
        <v>4.5532867509791755E-2</v>
      </c>
      <c r="J11" s="19">
        <v>1</v>
      </c>
      <c r="K11" s="1"/>
    </row>
    <row r="12" spans="1:11" x14ac:dyDescent="0.3">
      <c r="A12" s="12" t="s">
        <v>58</v>
      </c>
      <c r="B12">
        <v>2</v>
      </c>
      <c r="C12" s="12">
        <v>65</v>
      </c>
      <c r="D12" s="12" t="s">
        <v>48</v>
      </c>
      <c r="E12" s="3">
        <f>Ohm!E29 *0.000001</f>
        <v>24.100060563474901</v>
      </c>
      <c r="F12" s="1">
        <f>Ohm!F29 *0.000001</f>
        <v>8.9554273682271493E-2</v>
      </c>
      <c r="G12" s="3">
        <f>Ohm!G29 *0.000001</f>
        <v>23.540270683755598</v>
      </c>
      <c r="H12" s="1">
        <f>Ohm!H29 *0.000001</f>
        <v>1.7539001502428299E-2</v>
      </c>
      <c r="I12" s="2">
        <f>(Table13[[#This Row],[R_air mean]]-Table13[[#This Row],[R_h2 mean]])/Table13[[#This Row],[R_air mean]]</f>
        <v>2.3227737467502441E-2</v>
      </c>
      <c r="J12" s="18">
        <v>2</v>
      </c>
      <c r="K12" s="13"/>
    </row>
    <row r="13" spans="1:11" x14ac:dyDescent="0.3">
      <c r="A13" s="14" t="s">
        <v>59</v>
      </c>
      <c r="B13">
        <v>2</v>
      </c>
      <c r="C13" s="14">
        <v>65</v>
      </c>
      <c r="D13" s="14" t="s">
        <v>51</v>
      </c>
      <c r="E13" s="3">
        <f>Ohm!E30 *0.000001</f>
        <v>25.065192704694599</v>
      </c>
      <c r="F13" s="1">
        <f>Ohm!F30 *0.000001</f>
        <v>8.3795897871507402E-2</v>
      </c>
      <c r="G13" s="3">
        <f>Ohm!G30 *0.000001</f>
        <v>23.051813198828498</v>
      </c>
      <c r="H13" s="1">
        <f>Ohm!H30 *0.000001</f>
        <v>3.5670959254690597E-2</v>
      </c>
      <c r="I13" s="2">
        <f>(Table13[[#This Row],[R_air mean]]-Table13[[#This Row],[R_h2 mean]])/Table13[[#This Row],[R_air mean]]</f>
        <v>8.0325714212003824E-2</v>
      </c>
      <c r="J13" s="20">
        <v>1</v>
      </c>
      <c r="K13" s="15"/>
    </row>
    <row r="14" spans="1:11" x14ac:dyDescent="0.3">
      <c r="A14" t="s">
        <v>18</v>
      </c>
      <c r="B14">
        <v>4</v>
      </c>
      <c r="C14">
        <v>65</v>
      </c>
      <c r="D14" t="s">
        <v>12</v>
      </c>
      <c r="E14" s="3">
        <f>Ohm!E7 *0.000001</f>
        <v>8.7937661693505191</v>
      </c>
      <c r="F14" s="1">
        <f>Ohm!F7 *0.000001</f>
        <v>1.4577030485162601E-2</v>
      </c>
      <c r="G14" s="3">
        <f>Ohm!G7 *0.000001</f>
        <v>6.1196739769970101</v>
      </c>
      <c r="H14" s="1">
        <f>Ohm!H7 *0.000001</f>
        <v>1.3926866834611999E-2</v>
      </c>
      <c r="I14" s="5">
        <f>(Table13[[#This Row],[R_air mean]]-Table13[[#This Row],[R_h2 mean]])/Table13[[#This Row],[R_air mean]]</f>
        <v>0.30408952670059558</v>
      </c>
      <c r="J14" s="3"/>
      <c r="K14" s="1"/>
    </row>
    <row r="15" spans="1:11" x14ac:dyDescent="0.3">
      <c r="A15" t="s">
        <v>19</v>
      </c>
      <c r="B15">
        <v>4</v>
      </c>
      <c r="C15">
        <v>65</v>
      </c>
      <c r="D15" t="s">
        <v>11</v>
      </c>
      <c r="E15" s="3">
        <f>Ohm!E8 *0.000001</f>
        <v>16.798024480856899</v>
      </c>
      <c r="F15" s="1">
        <f>Ohm!F8 *0.000001</f>
        <v>0.70761049022126299</v>
      </c>
      <c r="G15" s="3">
        <f>Ohm!G8 *0.000001</f>
        <v>6.0836131210723901</v>
      </c>
      <c r="H15" s="1">
        <f>Ohm!H8 *0.000001</f>
        <v>1.9567619757224097E-2</v>
      </c>
      <c r="I15" s="5">
        <f>(Table13[[#This Row],[R_air mean]]-Table13[[#This Row],[R_h2 mean]])/Table13[[#This Row],[R_air mean]]</f>
        <v>0.63783758453231798</v>
      </c>
      <c r="J15" s="3"/>
      <c r="K15" s="1" t="s">
        <v>22</v>
      </c>
    </row>
    <row r="16" spans="1:11" x14ac:dyDescent="0.3">
      <c r="A16" t="s">
        <v>20</v>
      </c>
      <c r="B16">
        <v>4</v>
      </c>
      <c r="C16">
        <v>65</v>
      </c>
      <c r="D16" t="s">
        <v>12</v>
      </c>
      <c r="E16" s="7" t="s">
        <v>31</v>
      </c>
      <c r="F16" s="6" t="s">
        <v>31</v>
      </c>
      <c r="G16" s="7" t="s">
        <v>31</v>
      </c>
      <c r="H16" s="6" t="s">
        <v>31</v>
      </c>
      <c r="I16" s="2" t="e">
        <f>(Table13[[#This Row],[R_air mean]]-Table13[[#This Row],[R_h2 mean]])/Table13[[#This Row],[R_air mean]]</f>
        <v>#VALUE!</v>
      </c>
      <c r="J16" s="3"/>
      <c r="K16" s="1" t="s">
        <v>23</v>
      </c>
    </row>
    <row r="17" spans="1:11" x14ac:dyDescent="0.3">
      <c r="A17" t="s">
        <v>21</v>
      </c>
      <c r="B17">
        <v>4</v>
      </c>
      <c r="C17">
        <v>65</v>
      </c>
      <c r="D17" t="s">
        <v>11</v>
      </c>
      <c r="E17" s="7" t="s">
        <v>31</v>
      </c>
      <c r="F17" s="6" t="s">
        <v>31</v>
      </c>
      <c r="G17" s="7" t="s">
        <v>31</v>
      </c>
      <c r="H17" s="6" t="s">
        <v>31</v>
      </c>
      <c r="I17" s="2" t="e">
        <f>(Table13[[#This Row],[R_air mean]]-Table13[[#This Row],[R_h2 mean]])/Table13[[#This Row],[R_air mean]]</f>
        <v>#VALUE!</v>
      </c>
      <c r="J17" s="3"/>
      <c r="K17" s="1" t="s">
        <v>23</v>
      </c>
    </row>
    <row r="18" spans="1:11" x14ac:dyDescent="0.3">
      <c r="A18" t="s">
        <v>25</v>
      </c>
      <c r="B18">
        <v>7</v>
      </c>
      <c r="C18">
        <v>65</v>
      </c>
      <c r="D18" t="s">
        <v>12</v>
      </c>
      <c r="E18" s="3">
        <f>Ohm!E11 *0.000001</f>
        <v>10.288863985993599</v>
      </c>
      <c r="F18" s="1">
        <f>Ohm!F11 *0.000001</f>
        <v>0.12454470184746999</v>
      </c>
      <c r="G18" s="3">
        <f>Ohm!G11 *0.000001</f>
        <v>10.057060184713</v>
      </c>
      <c r="H18" s="1">
        <f>Ohm!H11 *0.000001</f>
        <v>7.5403803512114592E-2</v>
      </c>
      <c r="I18" s="2">
        <f>(Table13[[#This Row],[R_air mean]]-Table13[[#This Row],[R_h2 mean]])/Table13[[#This Row],[R_air mean]]</f>
        <v>2.2529581652178207E-2</v>
      </c>
      <c r="J18" s="3"/>
      <c r="K18" s="1" t="s">
        <v>40</v>
      </c>
    </row>
    <row r="19" spans="1:11" x14ac:dyDescent="0.3">
      <c r="A19" t="s">
        <v>26</v>
      </c>
      <c r="B19">
        <v>7</v>
      </c>
      <c r="C19">
        <v>65</v>
      </c>
      <c r="D19" t="s">
        <v>11</v>
      </c>
      <c r="E19" s="3">
        <f>Ohm!E12 *0.000001</f>
        <v>10.787386114065001</v>
      </c>
      <c r="F19" s="1">
        <f>Ohm!F12 *0.000001</f>
        <v>4.5491023521859096E-2</v>
      </c>
      <c r="G19" s="3">
        <f>Ohm!G12 *0.000001</f>
        <v>10.207417001160501</v>
      </c>
      <c r="H19" s="1">
        <f>Ohm!H12 *0.000001</f>
        <v>4.21003153875864E-2</v>
      </c>
      <c r="I19" s="2">
        <f>(Table13[[#This Row],[R_air mean]]-Table13[[#This Row],[R_h2 mean]])/Table13[[#This Row],[R_air mean]]</f>
        <v>5.3763637156578142E-2</v>
      </c>
      <c r="J19" s="3"/>
      <c r="K19" s="1"/>
    </row>
    <row r="20" spans="1:11" x14ac:dyDescent="0.3">
      <c r="A20" t="s">
        <v>27</v>
      </c>
      <c r="B20">
        <v>7</v>
      </c>
      <c r="C20">
        <v>65</v>
      </c>
      <c r="D20" t="s">
        <v>12</v>
      </c>
      <c r="E20" s="3">
        <f>Ohm!E13 *0.000001</f>
        <v>10.779695222552299</v>
      </c>
      <c r="F20" s="1">
        <f>Ohm!F13 *0.000001</f>
        <v>2.56744277479415E-2</v>
      </c>
      <c r="G20" s="3">
        <f>Ohm!G13 *0.000001</f>
        <v>10.2861516474961</v>
      </c>
      <c r="H20" s="1">
        <f>Ohm!H13 *0.000001</f>
        <v>4.7124531053182102E-2</v>
      </c>
      <c r="I20" s="2">
        <f>(Table13[[#This Row],[R_air mean]]-Table13[[#This Row],[R_h2 mean]])/Table13[[#This Row],[R_air mean]]</f>
        <v>4.5784557435691868E-2</v>
      </c>
      <c r="J20" s="3"/>
      <c r="K20" s="1"/>
    </row>
    <row r="21" spans="1:11" x14ac:dyDescent="0.3">
      <c r="A21" t="s">
        <v>28</v>
      </c>
      <c r="B21">
        <v>7</v>
      </c>
      <c r="C21">
        <v>65</v>
      </c>
      <c r="D21" t="s">
        <v>11</v>
      </c>
      <c r="E21" s="3">
        <f>Ohm!E14 *0.000001</f>
        <v>11.1963851828716</v>
      </c>
      <c r="F21" s="1">
        <f>Ohm!F14 *0.000001</f>
        <v>4.7309785482806593E-2</v>
      </c>
      <c r="G21" s="3">
        <f>Ohm!G14 *0.000001</f>
        <v>10.3340180104971</v>
      </c>
      <c r="H21" s="1">
        <f>Ohm!H14 *0.000001</f>
        <v>5.2360077705779301E-2</v>
      </c>
      <c r="I21" s="2">
        <f>(Table13[[#This Row],[R_air mean]]-Table13[[#This Row],[R_h2 mean]])/Table13[[#This Row],[R_air mean]]</f>
        <v>7.7021927907032162E-2</v>
      </c>
      <c r="J21" s="3"/>
      <c r="K21" s="1" t="s">
        <v>30</v>
      </c>
    </row>
    <row r="22" spans="1:11" x14ac:dyDescent="0.3">
      <c r="A22" t="s">
        <v>32</v>
      </c>
      <c r="B22">
        <v>7</v>
      </c>
      <c r="C22">
        <v>65</v>
      </c>
      <c r="D22" t="s">
        <v>12</v>
      </c>
      <c r="E22" s="3">
        <f>Ohm!E15 *0.000001</f>
        <v>18.1353142480198</v>
      </c>
      <c r="F22" s="1">
        <f>Ohm!F15 *0.000001</f>
        <v>4.5941161155376192E-2</v>
      </c>
      <c r="G22" s="3">
        <f>Ohm!G15 *0.000001</f>
        <v>16.865223411679899</v>
      </c>
      <c r="H22" s="1">
        <f>Ohm!H15 *0.000001</f>
        <v>0.13821348776862902</v>
      </c>
      <c r="I22" s="2">
        <f>(Table13[[#This Row],[R_air mean]]-Table13[[#This Row],[R_h2 mean]])/Table13[[#This Row],[R_air mean]]</f>
        <v>7.003412342185257E-2</v>
      </c>
      <c r="J22" s="3"/>
      <c r="K22" s="1" t="s">
        <v>33</v>
      </c>
    </row>
    <row r="23" spans="1:11" x14ac:dyDescent="0.3">
      <c r="A23" t="s">
        <v>29</v>
      </c>
      <c r="B23">
        <v>7</v>
      </c>
      <c r="C23">
        <v>65</v>
      </c>
      <c r="D23" t="s">
        <v>11</v>
      </c>
      <c r="E23" s="3">
        <f>Ohm!E16 *0.000001</f>
        <v>18.7445927249405</v>
      </c>
      <c r="F23" s="1">
        <f>Ohm!F16 *0.000001</f>
        <v>6.8405704133084486E-2</v>
      </c>
      <c r="G23" s="3">
        <f>Ohm!G16 *0.000001</f>
        <v>17.0990333689629</v>
      </c>
      <c r="H23" s="1">
        <f>Ohm!H16 *0.000001</f>
        <v>9.6072747507406395E-2</v>
      </c>
      <c r="I23" s="2">
        <f>(Table13[[#This Row],[R_air mean]]-Table13[[#This Row],[R_h2 mean]])/Table13[[#This Row],[R_air mean]]</f>
        <v>8.7788482797394221E-2</v>
      </c>
      <c r="J23" s="3"/>
      <c r="K23" s="1"/>
    </row>
    <row r="24" spans="1:11" x14ac:dyDescent="0.3">
      <c r="A24" t="s">
        <v>34</v>
      </c>
      <c r="B24">
        <v>9</v>
      </c>
      <c r="C24">
        <v>65</v>
      </c>
      <c r="D24" t="s">
        <v>12</v>
      </c>
      <c r="E24" s="3">
        <f>Ohm!E17 *0.000001</f>
        <v>2.5429559790085499</v>
      </c>
      <c r="F24" s="1">
        <f>Ohm!F17 *0.000001</f>
        <v>4.2418746271289396E-3</v>
      </c>
      <c r="G24" s="3">
        <f>Ohm!G17 *0.000001</f>
        <v>2.3311473577138502</v>
      </c>
      <c r="H24" s="1">
        <f>Ohm!H17 *0.000001</f>
        <v>2.5794502565571801E-3</v>
      </c>
      <c r="I24" s="2">
        <f>(Table13[[#This Row],[R_air mean]]-Table13[[#This Row],[R_h2 mean]])/Table13[[#This Row],[R_air mean]]</f>
        <v>8.3292287811163698E-2</v>
      </c>
      <c r="J24" s="3"/>
      <c r="K24" s="1"/>
    </row>
    <row r="25" spans="1:11" x14ac:dyDescent="0.3">
      <c r="A25" t="s">
        <v>35</v>
      </c>
      <c r="B25">
        <v>9</v>
      </c>
      <c r="C25">
        <v>65</v>
      </c>
      <c r="D25" t="s">
        <v>11</v>
      </c>
      <c r="E25" s="3">
        <f>Ohm!E18 *0.000001</f>
        <v>2.5536551659775499</v>
      </c>
      <c r="F25" s="1">
        <f>Ohm!F18 *0.000001</f>
        <v>1.9525559451474099E-3</v>
      </c>
      <c r="G25" s="3">
        <f>Ohm!G18 *0.000001</f>
        <v>2.33436725332824</v>
      </c>
      <c r="H25" s="1">
        <f>Ohm!H18 *0.000001</f>
        <v>1.2368732579943901E-3</v>
      </c>
      <c r="I25" s="2">
        <f>(Table13[[#This Row],[R_air mean]]-Table13[[#This Row],[R_h2 mean]])/Table13[[#This Row],[R_air mean]]</f>
        <v>8.5872170828266703E-2</v>
      </c>
      <c r="J25" s="3"/>
      <c r="K25" s="1"/>
    </row>
    <row r="26" spans="1:11" x14ac:dyDescent="0.3">
      <c r="A26" t="s">
        <v>36</v>
      </c>
      <c r="B26">
        <v>9</v>
      </c>
      <c r="C26">
        <v>65</v>
      </c>
      <c r="D26" t="s">
        <v>12</v>
      </c>
      <c r="E26" s="3">
        <f>Ohm!E19 *0.000001</f>
        <v>2.56433247337907</v>
      </c>
      <c r="F26" s="1">
        <f>Ohm!F19 *0.000001</f>
        <v>3.7213419036972398E-3</v>
      </c>
      <c r="G26" s="3">
        <f>Ohm!G19 *0.000001</f>
        <v>2.36750694164926</v>
      </c>
      <c r="H26" s="1">
        <f>Ohm!H19 *0.000001</f>
        <v>2.2181131116511201E-3</v>
      </c>
      <c r="I26" s="2">
        <f>(Table13[[#This Row],[R_air mean]]-Table13[[#This Row],[R_h2 mean]])/Table13[[#This Row],[R_air mean]]</f>
        <v>7.6755075160144584E-2</v>
      </c>
      <c r="J26" s="3"/>
      <c r="K26" s="1"/>
    </row>
    <row r="27" spans="1:11" x14ac:dyDescent="0.3">
      <c r="A27" t="s">
        <v>37</v>
      </c>
      <c r="B27">
        <v>9</v>
      </c>
      <c r="C27">
        <v>65</v>
      </c>
      <c r="D27" t="s">
        <v>11</v>
      </c>
      <c r="E27" s="3">
        <f>Ohm!E20 *0.000001</f>
        <v>2.59091965860735</v>
      </c>
      <c r="F27" s="1">
        <f>Ohm!F20 *0.000001</f>
        <v>2.9948152324009501E-3</v>
      </c>
      <c r="G27" s="3">
        <f>Ohm!G20 *0.000001</f>
        <v>2.3707520045141401</v>
      </c>
      <c r="H27" s="1">
        <f>Ohm!H20 *0.000001</f>
        <v>1.5652687801000198E-3</v>
      </c>
      <c r="I27" s="2">
        <f>(Table13[[#This Row],[R_air mean]]-Table13[[#This Row],[R_h2 mean]])/Table13[[#This Row],[R_air mean]]</f>
        <v>8.4976642699740271E-2</v>
      </c>
      <c r="J27" s="3"/>
      <c r="K27" s="1"/>
    </row>
    <row r="28" spans="1:11" x14ac:dyDescent="0.3">
      <c r="A28" t="s">
        <v>38</v>
      </c>
      <c r="B28">
        <v>9</v>
      </c>
      <c r="C28">
        <v>65</v>
      </c>
      <c r="D28" t="s">
        <v>12</v>
      </c>
      <c r="E28" s="3">
        <f>Ohm!E21 *0.000001</f>
        <v>2.60190289423696</v>
      </c>
      <c r="F28" s="1">
        <f>Ohm!F21 *0.000001</f>
        <v>4.9793292786432103E-3</v>
      </c>
      <c r="G28" s="3">
        <f>Ohm!G21 *0.000001</f>
        <v>2.4073984471481698</v>
      </c>
      <c r="H28" s="1">
        <f>Ohm!H21 *0.000001</f>
        <v>2.2760181529058398E-3</v>
      </c>
      <c r="I28" s="2">
        <f>(Table13[[#This Row],[R_air mean]]-Table13[[#This Row],[R_h2 mean]])/Table13[[#This Row],[R_air mean]]</f>
        <v>7.4754691083823502E-2</v>
      </c>
      <c r="J28" s="3"/>
      <c r="K28" s="1"/>
    </row>
    <row r="29" spans="1:11" x14ac:dyDescent="0.3">
      <c r="A29" t="s">
        <v>39</v>
      </c>
      <c r="B29">
        <v>9</v>
      </c>
      <c r="C29">
        <v>65</v>
      </c>
      <c r="D29" t="s">
        <v>11</v>
      </c>
      <c r="E29" s="3">
        <f>Ohm!E22 *0.000001</f>
        <v>2.6203698336538497</v>
      </c>
      <c r="F29" s="1">
        <f>Ohm!F22 *0.000001</f>
        <v>1.5155404180522999E-3</v>
      </c>
      <c r="G29" s="3">
        <f>Ohm!G22 *0.000001</f>
        <v>2.3778142638891397</v>
      </c>
      <c r="H29" s="1">
        <f>Ohm!H22 *0.000001</f>
        <v>5.9224645903142095E-3</v>
      </c>
      <c r="I29" s="2">
        <f>(Table13[[#This Row],[R_air mean]]-Table13[[#This Row],[R_h2 mean]])/Table13[[#This Row],[R_air mean]]</f>
        <v>9.256539540698723E-2</v>
      </c>
      <c r="J29" s="3"/>
      <c r="K29" s="1"/>
    </row>
    <row r="33" spans="1:10" x14ac:dyDescent="0.3">
      <c r="A33" t="s">
        <v>61</v>
      </c>
      <c r="B33" t="s">
        <v>41</v>
      </c>
      <c r="D33" t="s">
        <v>60</v>
      </c>
      <c r="E33" t="s">
        <v>3</v>
      </c>
      <c r="F33" t="s">
        <v>42</v>
      </c>
      <c r="G33" t="s">
        <v>5</v>
      </c>
      <c r="H33" t="s">
        <v>42</v>
      </c>
      <c r="I33" t="s">
        <v>43</v>
      </c>
      <c r="J33" t="s">
        <v>44</v>
      </c>
    </row>
    <row r="34" spans="1:10" x14ac:dyDescent="0.3">
      <c r="B34">
        <v>1</v>
      </c>
      <c r="D34" t="s">
        <v>12</v>
      </c>
      <c r="E34" s="3">
        <f>AVERAGE(E2,E4)</f>
        <v>8.8892122873949511</v>
      </c>
      <c r="F34" s="3">
        <f>_xlfn.STDEV.P(E2,E4)</f>
        <v>2.0687369747899531E-2</v>
      </c>
      <c r="G34" s="3">
        <f>AVERAGE(G2,G4)</f>
        <v>8.1664391734741244</v>
      </c>
      <c r="H34" s="3">
        <f>_xlfn.STDEV.P(G2,G4)</f>
        <v>2.3826503448945324E-2</v>
      </c>
      <c r="I34" s="2">
        <f>AVERAGE(I2,I4)</f>
        <v>8.1310279328715984E-2</v>
      </c>
      <c r="J34" s="2">
        <f>_xlfn.STDEV.P(I2,I4)</f>
        <v>5.4236858767121171E-4</v>
      </c>
    </row>
    <row r="35" spans="1:10" x14ac:dyDescent="0.3">
      <c r="D35" t="s">
        <v>11</v>
      </c>
      <c r="E35" s="3">
        <f>AVERAGE(E3,E5)</f>
        <v>8.9899608489112204</v>
      </c>
      <c r="F35" s="3">
        <f>_xlfn.STDEV.P(E3,E5)</f>
        <v>4.2042048911219432E-2</v>
      </c>
      <c r="G35" s="3">
        <f>AVERAGE(G3,G5)</f>
        <v>8.2432400973069093</v>
      </c>
      <c r="H35" s="3">
        <f>_xlfn.STDEV.P(G3,G5)</f>
        <v>2.3575610385389467E-2</v>
      </c>
      <c r="I35" s="2">
        <f>AVERAGE(I3,I5)</f>
        <v>8.3053834628410136E-2</v>
      </c>
      <c r="J35" s="2">
        <f>_xlfn.STDEV.P(I3,I5)</f>
        <v>1.6657119424420691E-3</v>
      </c>
    </row>
    <row r="36" spans="1:10" x14ac:dyDescent="0.3">
      <c r="B36">
        <v>2</v>
      </c>
      <c r="D36" t="s">
        <v>12</v>
      </c>
      <c r="E36" s="3">
        <f>AVERAGE(E10,E12)</f>
        <v>28.260945449073702</v>
      </c>
      <c r="F36" s="3">
        <f>_xlfn.STDEV.P(E10,E12)</f>
        <v>4.1608848855987954</v>
      </c>
      <c r="G36" s="3">
        <f>AVERAGE(G10,G12)</f>
        <v>27.200454614490148</v>
      </c>
      <c r="H36" s="3">
        <f>_xlfn.STDEV.P(G10,G12)</f>
        <v>3.6601839307345454</v>
      </c>
      <c r="I36" s="2">
        <f>AVERAGE(I10,I12)</f>
        <v>3.5690112630725683E-2</v>
      </c>
      <c r="J36" s="2">
        <f>_xlfn.STDEV.P(I10,I12)</f>
        <v>1.2462375163223242E-2</v>
      </c>
    </row>
    <row r="37" spans="1:10" x14ac:dyDescent="0.3">
      <c r="D37" t="s">
        <v>11</v>
      </c>
      <c r="E37" s="3">
        <f>AVERAGE(E11,E13)</f>
        <v>28.760080636378099</v>
      </c>
      <c r="F37" s="3">
        <f>_xlfn.STDEV.P(E11,E13)</f>
        <v>3.6948879316835241</v>
      </c>
      <c r="G37" s="3">
        <f>AVERAGE(G11,G13)</f>
        <v>27.014506991523049</v>
      </c>
      <c r="H37" s="3">
        <f>_xlfn.STDEV.P(G11,G13)</f>
        <v>3.9626937926945445</v>
      </c>
      <c r="I37" s="2">
        <f>AVERAGE(I11,I13)</f>
        <v>6.2929290860897796E-2</v>
      </c>
      <c r="J37" s="2">
        <f>_xlfn.STDEV.P(I11,I13)</f>
        <v>1.739642335110601E-2</v>
      </c>
    </row>
    <row r="38" spans="1:10" x14ac:dyDescent="0.3">
      <c r="B38">
        <v>7</v>
      </c>
      <c r="D38" t="s">
        <v>12</v>
      </c>
      <c r="E38" s="3">
        <f>AVERAGE(E18,E20,E22)</f>
        <v>13.067957818855234</v>
      </c>
      <c r="F38" s="3">
        <f>_xlfn.STDEV.P(E18,E20,E22)</f>
        <v>3.5887606691671858</v>
      </c>
      <c r="G38" s="3">
        <f>AVERAGE(G18,G20,G22)</f>
        <v>12.402811747963</v>
      </c>
      <c r="H38" s="3">
        <f>_xlfn.STDEV.P(G18,G20,G22)</f>
        <v>3.1567873032496747</v>
      </c>
      <c r="I38" s="2">
        <f>AVERAGE(I18,I20,I22)</f>
        <v>4.6116087503240887E-2</v>
      </c>
      <c r="J38" s="2">
        <f>_xlfn.STDEV.P(I18,I20,I22)</f>
        <v>1.9395064773045572E-2</v>
      </c>
    </row>
    <row r="39" spans="1:10" x14ac:dyDescent="0.3">
      <c r="D39" t="s">
        <v>11</v>
      </c>
      <c r="E39" s="3">
        <f>AVERAGE(E19,E21,E23)</f>
        <v>13.576121340625699</v>
      </c>
      <c r="F39" s="3">
        <f>_xlfn.STDEV.P(E19,E21,E23)</f>
        <v>3.6584734883492867</v>
      </c>
      <c r="G39" s="3">
        <f>AVERAGE(G19,G21,G23)</f>
        <v>12.546822793540167</v>
      </c>
      <c r="H39" s="3">
        <f>_xlfn.STDEV.P(G19,G21,G23)</f>
        <v>3.2193138809518764</v>
      </c>
      <c r="I39" s="2">
        <f>AVERAGE(I19,I21,I23)</f>
        <v>7.2858015953668184E-2</v>
      </c>
      <c r="J39" s="2">
        <f>_xlfn.STDEV.P(I19,I21,I23)</f>
        <v>1.4199205430512981E-2</v>
      </c>
    </row>
    <row r="40" spans="1:10" x14ac:dyDescent="0.3">
      <c r="B40">
        <v>9</v>
      </c>
      <c r="D40" t="s">
        <v>12</v>
      </c>
      <c r="E40" s="3">
        <f>AVERAGE(E24,E26,E28)</f>
        <v>2.5697304488748598</v>
      </c>
      <c r="F40" s="3">
        <f>_xlfn.STDEV.P(E24,E26,E28)</f>
        <v>2.4365799916087349E-2</v>
      </c>
      <c r="G40" s="3">
        <f t="shared" ref="G40:G41" si="0">AVERAGE(G24,G26,G28)</f>
        <v>2.3686842488370932</v>
      </c>
      <c r="H40" s="3">
        <f t="shared" ref="H40:H41" si="1">_xlfn.STDEV.P(G24,G26,G28)</f>
        <v>3.1140506302253592E-2</v>
      </c>
      <c r="I40" s="2">
        <f>AVERAGE(I24,I26,I28)</f>
        <v>7.826735135171059E-2</v>
      </c>
      <c r="J40" s="2">
        <f>_xlfn.STDEV.P(I24,I26,I28)</f>
        <v>3.645807997262569E-3</v>
      </c>
    </row>
    <row r="41" spans="1:10" x14ac:dyDescent="0.3">
      <c r="D41" t="s">
        <v>11</v>
      </c>
      <c r="E41" s="3">
        <f>AVERAGE(E25,E27,E29)</f>
        <v>2.5883148860795835</v>
      </c>
      <c r="F41" s="3">
        <f>_xlfn.STDEV.P(E25,E27,E29)</f>
        <v>2.7298355881271615E-2</v>
      </c>
      <c r="G41" s="3">
        <f t="shared" si="0"/>
        <v>2.3609778405771733</v>
      </c>
      <c r="H41" s="3">
        <f t="shared" si="1"/>
        <v>1.9036130422081767E-2</v>
      </c>
      <c r="I41" s="2">
        <f>AVERAGE(I25,I27,I29)</f>
        <v>8.780473631166473E-2</v>
      </c>
      <c r="J41" s="2">
        <f>_xlfn.STDEV.P(I25,I27,I29)</f>
        <v>3.3860890836532064E-3</v>
      </c>
    </row>
    <row r="42" spans="1:10" x14ac:dyDescent="0.3">
      <c r="E42" s="3"/>
      <c r="F42" s="3"/>
      <c r="G42" s="3"/>
      <c r="H42" s="3"/>
      <c r="I42" s="2"/>
      <c r="J42" s="2"/>
    </row>
    <row r="43" spans="1:10" x14ac:dyDescent="0.3">
      <c r="E43" s="3"/>
      <c r="F43" s="3"/>
      <c r="G43" s="3"/>
      <c r="H43" s="3"/>
      <c r="I43" s="2"/>
      <c r="J43" s="2"/>
    </row>
    <row r="44" spans="1:10" x14ac:dyDescent="0.3">
      <c r="E44" s="3"/>
      <c r="F44" s="3"/>
      <c r="G44" s="3"/>
      <c r="H44" s="3"/>
      <c r="I44" s="2"/>
      <c r="J44" s="2"/>
    </row>
    <row r="45" spans="1:10" x14ac:dyDescent="0.3">
      <c r="B45" t="s">
        <v>41</v>
      </c>
      <c r="E45" t="s">
        <v>45</v>
      </c>
      <c r="F45" t="s">
        <v>42</v>
      </c>
      <c r="G45" t="s">
        <v>46</v>
      </c>
      <c r="H45" t="s">
        <v>42</v>
      </c>
    </row>
    <row r="46" spans="1:10" x14ac:dyDescent="0.3">
      <c r="B46">
        <v>7</v>
      </c>
      <c r="E46" s="8">
        <f>AVERAGE(I10,I14,I12)</f>
        <v>0.125156583987349</v>
      </c>
      <c r="G46" s="8">
        <f>AVERAGE(I11,I13,I15)</f>
        <v>0.25456538875137119</v>
      </c>
    </row>
    <row r="47" spans="1:10" x14ac:dyDescent="0.3">
      <c r="B47">
        <v>9</v>
      </c>
      <c r="E47" s="8" t="e">
        <f>AVERAGE(I16,I18,I20)</f>
        <v>#VALUE!</v>
      </c>
      <c r="F47" s="2" t="e">
        <f>_xlfn.STDEV.P(I16,I18,I20)</f>
        <v>#VALUE!</v>
      </c>
      <c r="G47" s="8" t="e">
        <f>AVERAGE(I17,I19,I21)</f>
        <v>#VALUE!</v>
      </c>
      <c r="H47" s="2" t="e">
        <f>_xlfn.STDEV.P(I17,I19,I21)</f>
        <v>#VALUE!</v>
      </c>
    </row>
    <row r="50" spans="2:10" x14ac:dyDescent="0.3">
      <c r="B50" t="s">
        <v>41</v>
      </c>
      <c r="E50" t="s">
        <v>3</v>
      </c>
      <c r="F50" t="s">
        <v>42</v>
      </c>
      <c r="G50" t="s">
        <v>5</v>
      </c>
      <c r="H50" t="s">
        <v>42</v>
      </c>
      <c r="I50" t="s">
        <v>43</v>
      </c>
      <c r="J50" t="s">
        <v>44</v>
      </c>
    </row>
    <row r="51" spans="2:10" x14ac:dyDescent="0.3">
      <c r="B51">
        <v>4</v>
      </c>
      <c r="E51" s="3">
        <f>AVERAGEIF(Table13[Dev],B51,Table13[R_air mean])</f>
        <v>12.795895325103709</v>
      </c>
      <c r="F51" s="3">
        <f>_xlfn.STDEV.P(E6:E7)</f>
        <v>0.66218287690694666</v>
      </c>
      <c r="G51" s="3">
        <f>AVERAGEIF(Table13[Dev],B51,Table13[R_h2 mean])</f>
        <v>6.1016435490346996</v>
      </c>
      <c r="H51" s="3">
        <f>_xlfn.STDEV.P(G6:G7)</f>
        <v>0.19236770912034729</v>
      </c>
      <c r="I51" s="2">
        <f>AVERAGE(I6:I7)</f>
        <v>-2.6869216009353511E-3</v>
      </c>
      <c r="J51" s="2">
        <f>_xlfn.STDEV.P(I6:I7)</f>
        <v>7.4440339228337158E-3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F6A-1BD7-490D-8A6A-97339E990C1F}">
  <dimension ref="A1:J11"/>
  <sheetViews>
    <sheetView zoomScale="85" zoomScaleNormal="85" workbookViewId="0">
      <selection activeCell="J10" sqref="A1:J10"/>
    </sheetView>
  </sheetViews>
  <sheetFormatPr defaultRowHeight="14.4" x14ac:dyDescent="0.3"/>
  <cols>
    <col min="1" max="1" width="14" bestFit="1" customWidth="1"/>
    <col min="2" max="2" width="15.6640625" customWidth="1"/>
    <col min="4" max="4" width="8.5546875" bestFit="1" customWidth="1"/>
    <col min="5" max="5" width="14.21875" hidden="1" customWidth="1"/>
    <col min="6" max="6" width="12.109375" hidden="1" customWidth="1"/>
    <col min="7" max="7" width="11.5546875" hidden="1" customWidth="1"/>
    <col min="8" max="8" width="10.5546875" hidden="1" customWidth="1"/>
    <col min="9" max="9" width="15.6640625" customWidth="1"/>
  </cols>
  <sheetData>
    <row r="1" spans="1:10" ht="13.2" customHeight="1" x14ac:dyDescent="0.3">
      <c r="A1" t="s">
        <v>61</v>
      </c>
      <c r="B1" t="s">
        <v>62</v>
      </c>
      <c r="C1" t="s">
        <v>65</v>
      </c>
      <c r="E1" t="s">
        <v>66</v>
      </c>
    </row>
    <row r="2" spans="1:10" x14ac:dyDescent="0.3">
      <c r="A2" t="s">
        <v>41</v>
      </c>
      <c r="B2" t="s">
        <v>63</v>
      </c>
      <c r="C2" t="s">
        <v>64</v>
      </c>
      <c r="D2" t="s">
        <v>60</v>
      </c>
      <c r="E2" t="s">
        <v>3</v>
      </c>
      <c r="F2" t="s">
        <v>42</v>
      </c>
      <c r="G2" t="s">
        <v>5</v>
      </c>
      <c r="H2" t="s">
        <v>42</v>
      </c>
      <c r="I2" t="s">
        <v>43</v>
      </c>
      <c r="J2" t="s">
        <v>44</v>
      </c>
    </row>
    <row r="3" spans="1:10" x14ac:dyDescent="0.3">
      <c r="A3">
        <v>1</v>
      </c>
      <c r="B3">
        <v>10000</v>
      </c>
      <c r="C3">
        <v>500</v>
      </c>
      <c r="D3" t="s">
        <v>12</v>
      </c>
      <c r="E3" s="1">
        <v>8.8892122873949511</v>
      </c>
      <c r="F3" s="1">
        <v>2.0687369747899531E-2</v>
      </c>
      <c r="G3" s="1">
        <v>8.1664391734741244</v>
      </c>
      <c r="H3" s="1">
        <v>2.3826503448945324E-2</v>
      </c>
      <c r="I3" s="2">
        <v>8.1310279328715984E-2</v>
      </c>
      <c r="J3" s="2">
        <v>5.4236858767121171E-4</v>
      </c>
    </row>
    <row r="4" spans="1:10" x14ac:dyDescent="0.3">
      <c r="A4">
        <v>1</v>
      </c>
      <c r="B4">
        <v>10000</v>
      </c>
      <c r="C4">
        <v>500</v>
      </c>
      <c r="D4" t="s">
        <v>11</v>
      </c>
      <c r="E4" s="1">
        <v>8.9899608489112204</v>
      </c>
      <c r="F4" s="1">
        <v>4.2042048911219432E-2</v>
      </c>
      <c r="G4" s="1">
        <v>8.2432400973069093</v>
      </c>
      <c r="H4" s="1">
        <v>2.3575610385389467E-2</v>
      </c>
      <c r="I4" s="2">
        <v>8.3053834628410136E-2</v>
      </c>
      <c r="J4" s="2">
        <v>1.6657119424420691E-3</v>
      </c>
    </row>
    <row r="5" spans="1:10" x14ac:dyDescent="0.3">
      <c r="A5">
        <v>2</v>
      </c>
      <c r="B5">
        <v>10000</v>
      </c>
      <c r="C5">
        <v>900</v>
      </c>
      <c r="D5" t="s">
        <v>12</v>
      </c>
      <c r="E5" s="1">
        <v>28.260945449073702</v>
      </c>
      <c r="F5" s="1">
        <v>4.1608848855987954</v>
      </c>
      <c r="G5" s="1">
        <v>27.200454614490148</v>
      </c>
      <c r="H5" s="1">
        <v>3.6601839307345454</v>
      </c>
      <c r="I5" s="2">
        <v>3.5690112630725683E-2</v>
      </c>
      <c r="J5" s="2">
        <v>1.2462375163223242E-2</v>
      </c>
    </row>
    <row r="6" spans="1:10" x14ac:dyDescent="0.3">
      <c r="A6">
        <v>2</v>
      </c>
      <c r="B6">
        <v>10000</v>
      </c>
      <c r="C6">
        <v>900</v>
      </c>
      <c r="D6" t="s">
        <v>11</v>
      </c>
      <c r="E6" s="1">
        <v>28.760080636378099</v>
      </c>
      <c r="F6" s="1">
        <v>3.6948879316835241</v>
      </c>
      <c r="G6" s="1">
        <v>27.014506991523049</v>
      </c>
      <c r="H6" s="1">
        <v>3.9626937926945445</v>
      </c>
      <c r="I6" s="2">
        <v>6.2929290860897796E-2</v>
      </c>
      <c r="J6" s="2">
        <v>1.7396423351106E-2</v>
      </c>
    </row>
    <row r="7" spans="1:10" x14ac:dyDescent="0.3">
      <c r="A7">
        <v>7</v>
      </c>
      <c r="B7">
        <v>400</v>
      </c>
      <c r="C7">
        <v>404</v>
      </c>
      <c r="D7" t="s">
        <v>12</v>
      </c>
      <c r="E7" s="1">
        <v>13.067957818855234</v>
      </c>
      <c r="F7" s="1">
        <v>3.5887606691671858</v>
      </c>
      <c r="G7" s="1">
        <v>12.402811747963</v>
      </c>
      <c r="H7" s="1">
        <v>3.1567873032496747</v>
      </c>
      <c r="I7" s="2">
        <v>4.6116087503240887E-2</v>
      </c>
      <c r="J7" s="2">
        <v>1.9395064773045572E-2</v>
      </c>
    </row>
    <row r="8" spans="1:10" x14ac:dyDescent="0.3">
      <c r="A8">
        <v>7</v>
      </c>
      <c r="B8">
        <v>400</v>
      </c>
      <c r="C8">
        <v>404</v>
      </c>
      <c r="D8" t="s">
        <v>11</v>
      </c>
      <c r="E8" s="1">
        <v>13.576121340625699</v>
      </c>
      <c r="F8" s="1">
        <v>3.6584734883492867</v>
      </c>
      <c r="G8" s="1">
        <v>12.546822793540167</v>
      </c>
      <c r="H8" s="1">
        <v>3.2193138809518764</v>
      </c>
      <c r="I8" s="2">
        <v>7.2858015953668184E-2</v>
      </c>
      <c r="J8" s="2">
        <v>1.4199205430512981E-2</v>
      </c>
    </row>
    <row r="9" spans="1:10" x14ac:dyDescent="0.3">
      <c r="A9">
        <v>9</v>
      </c>
      <c r="B9">
        <v>400</v>
      </c>
      <c r="C9">
        <v>1604</v>
      </c>
      <c r="D9" t="s">
        <v>12</v>
      </c>
      <c r="E9" s="1">
        <v>2.5697304488748598</v>
      </c>
      <c r="F9" s="1">
        <v>2.4365799916087349E-2</v>
      </c>
      <c r="G9" s="1">
        <v>2.3686842488370932</v>
      </c>
      <c r="H9" s="1">
        <v>3.1140506302253592E-2</v>
      </c>
      <c r="I9" s="2">
        <v>7.826735135171059E-2</v>
      </c>
      <c r="J9" s="2">
        <v>3.645807997262569E-3</v>
      </c>
    </row>
    <row r="10" spans="1:10" x14ac:dyDescent="0.3">
      <c r="A10">
        <v>9</v>
      </c>
      <c r="B10">
        <v>400</v>
      </c>
      <c r="C10">
        <v>1604</v>
      </c>
      <c r="D10" t="s">
        <v>11</v>
      </c>
      <c r="E10" s="1">
        <v>2.5883148860795835</v>
      </c>
      <c r="F10" s="1">
        <v>2.7298355881271615E-2</v>
      </c>
      <c r="G10" s="1">
        <v>2.3609778405771733</v>
      </c>
      <c r="H10" s="1">
        <v>1.9036130422081767E-2</v>
      </c>
      <c r="I10" s="2">
        <v>8.780473631166473E-2</v>
      </c>
      <c r="J10" s="2">
        <v>3.3860890836532064E-3</v>
      </c>
    </row>
    <row r="11" spans="1:10" x14ac:dyDescent="0.3">
      <c r="I11" s="8">
        <f>AVERAGE(I3:I10)</f>
        <v>6.8503713571129249E-2</v>
      </c>
      <c r="J11" s="2">
        <f>_xlfn.STDEV.P(I3:I10)</f>
        <v>1.7576776568275242E-2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548-BBE4-489A-8051-2AB1679E2BD2}">
  <dimension ref="A1:J18"/>
  <sheetViews>
    <sheetView tabSelected="1" zoomScale="130" zoomScaleNormal="130" workbookViewId="0">
      <selection activeCell="B23" sqref="B23"/>
    </sheetView>
  </sheetViews>
  <sheetFormatPr defaultRowHeight="14.4" x14ac:dyDescent="0.3"/>
  <cols>
    <col min="2" max="2" width="38" bestFit="1" customWidth="1"/>
    <col min="3" max="3" width="11.77734375" customWidth="1"/>
    <col min="4" max="4" width="11" customWidth="1"/>
    <col min="5" max="5" width="9" bestFit="1" customWidth="1"/>
    <col min="7" max="7" width="13.88671875" bestFit="1" customWidth="1"/>
    <col min="8" max="9" width="10.5546875" customWidth="1"/>
    <col min="10" max="10" width="93.44140625" bestFit="1" customWidth="1"/>
  </cols>
  <sheetData>
    <row r="1" spans="1:10" x14ac:dyDescent="0.3">
      <c r="A1" t="s">
        <v>83</v>
      </c>
      <c r="B1">
        <f>D2*B2</f>
        <v>8.5812999999999988</v>
      </c>
      <c r="C1" t="s">
        <v>86</v>
      </c>
    </row>
    <row r="2" spans="1:10" x14ac:dyDescent="0.3">
      <c r="A2" t="s">
        <v>84</v>
      </c>
      <c r="B2">
        <v>23</v>
      </c>
      <c r="C2" t="s">
        <v>85</v>
      </c>
      <c r="D2">
        <v>0.37309999999999999</v>
      </c>
      <c r="G2" t="s">
        <v>89</v>
      </c>
    </row>
    <row r="3" spans="1:10" x14ac:dyDescent="0.3">
      <c r="A3" t="s">
        <v>41</v>
      </c>
      <c r="B3" t="s">
        <v>67</v>
      </c>
      <c r="C3" t="s">
        <v>82</v>
      </c>
      <c r="D3" t="s">
        <v>81</v>
      </c>
      <c r="E3" t="s">
        <v>79</v>
      </c>
      <c r="F3" t="s">
        <v>80</v>
      </c>
      <c r="G3" t="s">
        <v>87</v>
      </c>
      <c r="H3" t="s">
        <v>88</v>
      </c>
      <c r="I3" t="s">
        <v>90</v>
      </c>
      <c r="J3" t="s">
        <v>9</v>
      </c>
    </row>
    <row r="4" spans="1:10" x14ac:dyDescent="0.3">
      <c r="A4">
        <v>1</v>
      </c>
      <c r="B4" t="s">
        <v>77</v>
      </c>
      <c r="C4" s="1">
        <v>10098796.410692399</v>
      </c>
      <c r="D4" s="1">
        <v>29659.028588183399</v>
      </c>
      <c r="E4" s="1">
        <v>11001481.4829018</v>
      </c>
      <c r="F4" s="1">
        <v>28135.046029855901</v>
      </c>
      <c r="G4" s="27">
        <f>Table3[[#This Row],[R fit + (Ohm)]]*$B$1/4*0.0000001</f>
        <v>2.1665200409768666</v>
      </c>
      <c r="H4" s="27">
        <f>Table3[[#This Row],[R fit -]]*$B$1/4*0.0000001</f>
        <v>2.36017532623063</v>
      </c>
      <c r="I4" s="27">
        <f>AVERAGE(Table3[[#This Row],[Rho 300K +]:[Rho 300K -]])</f>
        <v>2.2633476836037483</v>
      </c>
    </row>
    <row r="5" spans="1:10" x14ac:dyDescent="0.3">
      <c r="A5">
        <v>1</v>
      </c>
      <c r="B5" t="s">
        <v>76</v>
      </c>
      <c r="C5" s="1">
        <v>10421499.650479799</v>
      </c>
      <c r="D5" s="1">
        <v>25468.5186883641</v>
      </c>
      <c r="E5" s="1">
        <v>10554358.8511062</v>
      </c>
      <c r="F5" s="1">
        <v>44772.992287676498</v>
      </c>
      <c r="G5" s="27">
        <f>Table3[[#This Row],[R fit + (Ohm)]]*$B$1/4*0.0000001</f>
        <v>2.2357503737665572</v>
      </c>
      <c r="H5" s="27">
        <f>Table3[[#This Row],[R fit -]]*$B$1/4*0.0000001</f>
        <v>2.2642529902249406</v>
      </c>
      <c r="I5" s="27">
        <f>AVERAGE(Table3[[#This Row],[Rho 300K +]:[Rho 300K -]])</f>
        <v>2.2500016819957489</v>
      </c>
      <c r="J5" t="s">
        <v>78</v>
      </c>
    </row>
    <row r="6" spans="1:10" x14ac:dyDescent="0.3">
      <c r="A6">
        <v>2</v>
      </c>
      <c r="B6" t="s">
        <v>93</v>
      </c>
      <c r="C6" s="1">
        <v>69002618.3047252</v>
      </c>
      <c r="D6" s="1">
        <v>139283.04371385201</v>
      </c>
      <c r="E6" s="1">
        <v>69178110.938432202</v>
      </c>
      <c r="F6" s="1">
        <v>138077.83512839899</v>
      </c>
      <c r="G6" s="27">
        <f>Table3[[#This Row],[R fit + (Ohm)]]*$B$1/4*0.0000001</f>
        <v>14.803304211458455</v>
      </c>
      <c r="H6" s="27">
        <f>Table3[[#This Row],[R fit -]]*$B$1/4*0.0000001</f>
        <v>14.840953084899205</v>
      </c>
      <c r="I6" s="27">
        <f>AVERAGE(Table3[[#This Row],[Rho 300K +]:[Rho 300K -]])</f>
        <v>14.822128648178829</v>
      </c>
    </row>
    <row r="7" spans="1:10" x14ac:dyDescent="0.3">
      <c r="A7">
        <v>7</v>
      </c>
      <c r="B7" s="22" t="s">
        <v>72</v>
      </c>
      <c r="C7" s="1">
        <v>26203683.6228543</v>
      </c>
      <c r="D7" s="1">
        <v>129552.850378954</v>
      </c>
      <c r="E7" s="1">
        <v>26698563.034045201</v>
      </c>
      <c r="F7" s="1">
        <v>140134.88804957</v>
      </c>
      <c r="G7" s="27">
        <f>Table3[[#This Row],[R fit + (Ohm)]]*$B$1/4*0.0000001</f>
        <v>5.6215417568199895</v>
      </c>
      <c r="H7" s="27">
        <f>Table3[[#This Row],[R fit -]]*$B$1/4*0.0000001</f>
        <v>5.7277094741013013</v>
      </c>
      <c r="I7" s="27">
        <f>AVERAGE(Table3[[#This Row],[Rho 300K +]:[Rho 300K -]])</f>
        <v>5.6746256154606449</v>
      </c>
      <c r="J7" t="s">
        <v>73</v>
      </c>
    </row>
    <row r="8" spans="1:10" x14ac:dyDescent="0.3">
      <c r="A8">
        <v>7</v>
      </c>
      <c r="B8" s="22" t="s">
        <v>74</v>
      </c>
      <c r="C8" s="1">
        <v>26370015.855802</v>
      </c>
      <c r="D8" s="1">
        <v>160424.21191966999</v>
      </c>
      <c r="E8" s="1">
        <v>26924950.607806802</v>
      </c>
      <c r="F8" s="1">
        <v>180008.51550354401</v>
      </c>
      <c r="G8" s="27">
        <f>Table3[[#This Row],[R fit + (Ohm)]]*$B$1/4*0.0000001</f>
        <v>5.6572254265848416</v>
      </c>
      <c r="H8" s="27">
        <f>Table3[[#This Row],[R fit -]]*$B$1/4*0.0000001</f>
        <v>5.7762769662693119</v>
      </c>
      <c r="I8" s="27">
        <f>AVERAGE(Table3[[#This Row],[Rho 300K +]:[Rho 300K -]])</f>
        <v>5.7167511964270767</v>
      </c>
      <c r="J8" t="s">
        <v>75</v>
      </c>
    </row>
    <row r="9" spans="1:10" x14ac:dyDescent="0.3">
      <c r="A9" s="11">
        <v>7</v>
      </c>
      <c r="B9" s="11" t="s">
        <v>70</v>
      </c>
      <c r="C9" s="4">
        <v>86343241.476115599</v>
      </c>
      <c r="D9" s="4">
        <v>182964.63906790401</v>
      </c>
      <c r="E9" s="4">
        <v>84534052.429201901</v>
      </c>
      <c r="F9" s="4">
        <v>291484.00190178101</v>
      </c>
      <c r="G9" s="28">
        <f>Table3[[#This Row],[R fit + (Ohm)]]*$B$1/4*0.0000001</f>
        <v>18.523431451974766</v>
      </c>
      <c r="H9" s="28">
        <f>Table3[[#This Row],[R fit -]]*$B$1/4*0.0000001</f>
        <v>18.135301602767754</v>
      </c>
      <c r="I9" s="28">
        <f>AVERAGE(Table3[[#This Row],[Rho 300K +]:[Rho 300K -]])</f>
        <v>18.32936652737126</v>
      </c>
      <c r="J9" s="11" t="s">
        <v>71</v>
      </c>
    </row>
    <row r="10" spans="1:10" x14ac:dyDescent="0.3">
      <c r="A10">
        <v>9</v>
      </c>
      <c r="B10" t="s">
        <v>68</v>
      </c>
      <c r="C10" s="1">
        <v>4770485.9739427799</v>
      </c>
      <c r="D10" s="1">
        <v>3303.5245307732098</v>
      </c>
      <c r="E10" s="1">
        <v>4797070.8675611597</v>
      </c>
      <c r="F10" s="1">
        <v>1766.67939896396</v>
      </c>
      <c r="G10" s="27">
        <f>Table3[[#This Row],[R fit + (Ohm)]]*$B$1/4*0.0000001</f>
        <v>1.0234242822048791</v>
      </c>
      <c r="H10" s="27">
        <f>Table3[[#This Row],[R fit -]]*$B$1/4*0.0000001</f>
        <v>1.0291276058950642</v>
      </c>
      <c r="I10" s="27">
        <f>AVERAGE(Table3[[#This Row],[Rho 300K +]:[Rho 300K -]])</f>
        <v>1.0262759440499716</v>
      </c>
    </row>
    <row r="11" spans="1:10" x14ac:dyDescent="0.3">
      <c r="A11">
        <v>9</v>
      </c>
      <c r="B11" t="s">
        <v>69</v>
      </c>
      <c r="C11" s="1">
        <v>4814883.0089860903</v>
      </c>
      <c r="D11" s="1">
        <v>2942.0734250436499</v>
      </c>
      <c r="E11" s="1">
        <v>4827811.7840967001</v>
      </c>
      <c r="F11" s="1">
        <v>2828.0674103664801</v>
      </c>
      <c r="G11" s="27">
        <f>Table3[[#This Row],[R fit + (Ohm)]]*$B$1/4*0.0000001</f>
        <v>1.0329488891253082</v>
      </c>
      <c r="H11" s="27">
        <f>Table3[[#This Row],[R fit -]]*$B$1/4*0.0000001</f>
        <v>1.0357225315717251</v>
      </c>
      <c r="I11" s="27">
        <f>AVERAGE(Table3[[#This Row],[Rho 300K +]:[Rho 300K -]])</f>
        <v>1.0343357103485167</v>
      </c>
    </row>
    <row r="14" spans="1:10" x14ac:dyDescent="0.3">
      <c r="C14" t="s">
        <v>91</v>
      </c>
      <c r="D14" t="s">
        <v>90</v>
      </c>
      <c r="E14" t="s">
        <v>92</v>
      </c>
      <c r="G14" t="s">
        <v>94</v>
      </c>
    </row>
    <row r="15" spans="1:10" x14ac:dyDescent="0.3">
      <c r="C15">
        <v>1</v>
      </c>
      <c r="D15" s="3">
        <f>AVERAGE(G4:H5)</f>
        <v>2.2566746827997486</v>
      </c>
      <c r="E15" s="3">
        <f>_xlfn.STDEV.P(G4:H5)</f>
        <v>6.9526074397965654E-2</v>
      </c>
      <c r="G15" s="29">
        <f>19*LOG(D15)+90</f>
        <v>96.715910176614798</v>
      </c>
    </row>
    <row r="16" spans="1:10" x14ac:dyDescent="0.3">
      <c r="C16">
        <v>2</v>
      </c>
      <c r="D16" s="3">
        <f>AVERAGE(G6:H6)</f>
        <v>14.822128648178829</v>
      </c>
      <c r="E16" s="3">
        <f>_xlfn.STDEV.P(G6:H6)</f>
        <v>1.8824436720374926E-2</v>
      </c>
      <c r="G16" s="29">
        <f t="shared" ref="G16:G18" si="0">19*LOG(D16)+90</f>
        <v>112.24730098944418</v>
      </c>
    </row>
    <row r="17" spans="3:7" x14ac:dyDescent="0.3">
      <c r="C17">
        <v>7</v>
      </c>
      <c r="D17" s="3">
        <f>AVERAGE(G7:H8)</f>
        <v>5.6956884059438604</v>
      </c>
      <c r="E17" s="3">
        <f>_xlfn.STDEV.P(G7:H8)</f>
        <v>6.0201725927798648E-2</v>
      </c>
      <c r="G17" s="29">
        <f t="shared" si="0"/>
        <v>104.35537822423426</v>
      </c>
    </row>
    <row r="18" spans="3:7" x14ac:dyDescent="0.3">
      <c r="C18">
        <v>9</v>
      </c>
      <c r="D18" s="3">
        <f>AVERAGE(G10:H11)</f>
        <v>1.030305827199244</v>
      </c>
      <c r="E18" s="3">
        <f>_xlfn.STDEV.P(G10:H11)</f>
        <v>4.6116789121467914E-3</v>
      </c>
      <c r="G18" s="29">
        <f t="shared" si="0"/>
        <v>90.246356966157975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Ohm</vt:lpstr>
      <vt:lpstr>MOhm</vt:lpstr>
      <vt:lpstr>Summary</vt:lpstr>
      <vt:lpstr>Rho300K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2020-04-01T12:38:22Z</dcterms:created>
  <dcterms:modified xsi:type="dcterms:W3CDTF">2020-05-28T22:04:51Z</dcterms:modified>
</cp:coreProperties>
</file>