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CMUTI\Desktop\Joguinho\data\"/>
    </mc:Choice>
  </mc:AlternateContent>
  <xr:revisionPtr revIDLastSave="0" documentId="13_ncr:1_{861B8E59-0914-4756-AD6A-E1E95B305C59}" xr6:coauthVersionLast="47" xr6:coauthVersionMax="47" xr10:uidLastSave="{00000000-0000-0000-0000-000000000000}"/>
  <bookViews>
    <workbookView xWindow="-120" yWindow="-120" windowWidth="21840" windowHeight="13140" activeTab="6" xr2:uid="{00000000-000D-0000-FFFF-FFFF00000000}"/>
  </bookViews>
  <sheets>
    <sheet name="Database" sheetId="1" r:id="rId1"/>
    <sheet name="Mint" sheetId="2" r:id="rId2"/>
    <sheet name="Others" sheetId="3" r:id="rId3"/>
    <sheet name="Chinese_Database" sheetId="4" r:id="rId4"/>
    <sheet name="Heroes" sheetId="5" r:id="rId5"/>
    <sheet name="Página7" sheetId="6" r:id="rId6"/>
    <sheet name="All_data"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24" i="6" l="1"/>
  <c r="X324" i="6"/>
  <c r="W324" i="6"/>
  <c r="V324" i="6"/>
  <c r="U324" i="6"/>
  <c r="T324" i="6"/>
  <c r="S324" i="6"/>
  <c r="R324" i="6"/>
  <c r="Q324" i="6"/>
  <c r="P324" i="6"/>
  <c r="O324" i="6"/>
  <c r="N324" i="6"/>
  <c r="M324" i="6"/>
  <c r="L324" i="6"/>
  <c r="J324" i="6"/>
  <c r="I324" i="6"/>
  <c r="H324" i="6"/>
  <c r="G324" i="6"/>
  <c r="F324" i="6"/>
  <c r="E324" i="6"/>
  <c r="D324" i="6"/>
  <c r="C324" i="6"/>
  <c r="B324" i="6"/>
  <c r="A324" i="6"/>
  <c r="Y323" i="6"/>
  <c r="X323" i="6"/>
  <c r="W323" i="6"/>
  <c r="V323" i="6"/>
  <c r="U323" i="6"/>
  <c r="T323" i="6"/>
  <c r="S323" i="6"/>
  <c r="R323" i="6"/>
  <c r="P323" i="6"/>
  <c r="O323" i="6"/>
  <c r="N323" i="6"/>
  <c r="M323" i="6"/>
  <c r="J323" i="6"/>
  <c r="I323" i="6"/>
  <c r="H323" i="6"/>
  <c r="G323" i="6"/>
  <c r="F323" i="6"/>
  <c r="E323" i="6"/>
  <c r="D323" i="6"/>
  <c r="C323" i="6"/>
  <c r="B323" i="6"/>
  <c r="A323" i="6"/>
  <c r="Y322" i="6"/>
  <c r="X322" i="6"/>
  <c r="W322" i="6"/>
  <c r="V322" i="6"/>
  <c r="U322" i="6"/>
  <c r="T322" i="6"/>
  <c r="S322" i="6"/>
  <c r="R322" i="6"/>
  <c r="Q322" i="6"/>
  <c r="P322" i="6"/>
  <c r="O322" i="6"/>
  <c r="N322" i="6"/>
  <c r="M322" i="6"/>
  <c r="J322" i="6"/>
  <c r="I322" i="6"/>
  <c r="H322" i="6"/>
  <c r="G322" i="6"/>
  <c r="F322" i="6"/>
  <c r="E322" i="6"/>
  <c r="D322" i="6"/>
  <c r="C322" i="6"/>
  <c r="B322" i="6"/>
  <c r="A322" i="6"/>
  <c r="Y321" i="6"/>
  <c r="X321" i="6"/>
  <c r="W321" i="6"/>
  <c r="V321" i="6"/>
  <c r="U321" i="6"/>
  <c r="T321" i="6"/>
  <c r="S321" i="6"/>
  <c r="R321" i="6"/>
  <c r="Q321" i="6"/>
  <c r="P321" i="6"/>
  <c r="O321" i="6"/>
  <c r="N321" i="6"/>
  <c r="M321" i="6"/>
  <c r="J321" i="6"/>
  <c r="I321" i="6"/>
  <c r="H321" i="6"/>
  <c r="G321" i="6"/>
  <c r="F321" i="6"/>
  <c r="E321" i="6"/>
  <c r="D321" i="6"/>
  <c r="C321" i="6"/>
  <c r="B321" i="6"/>
  <c r="A321" i="6"/>
  <c r="Y320" i="6"/>
  <c r="X320" i="6"/>
  <c r="W320" i="6"/>
  <c r="V320" i="6"/>
  <c r="U320" i="6"/>
  <c r="T320" i="6"/>
  <c r="S320" i="6"/>
  <c r="R320" i="6"/>
  <c r="Q320" i="6"/>
  <c r="P320" i="6"/>
  <c r="O320" i="6"/>
  <c r="N320" i="6"/>
  <c r="M320" i="6"/>
  <c r="J320" i="6"/>
  <c r="I320" i="6"/>
  <c r="H320" i="6"/>
  <c r="G320" i="6"/>
  <c r="F320" i="6"/>
  <c r="E320" i="6"/>
  <c r="D320" i="6"/>
  <c r="C320" i="6"/>
  <c r="B320" i="6"/>
  <c r="A320" i="6"/>
  <c r="Y319" i="6"/>
  <c r="X319" i="6"/>
  <c r="W319" i="6"/>
  <c r="V319" i="6"/>
  <c r="U319" i="6"/>
  <c r="T319" i="6"/>
  <c r="S319" i="6"/>
  <c r="R319" i="6"/>
  <c r="Q319" i="6"/>
  <c r="P319" i="6"/>
  <c r="O319" i="6"/>
  <c r="N319" i="6"/>
  <c r="M319" i="6"/>
  <c r="J319" i="6"/>
  <c r="I319" i="6"/>
  <c r="H319" i="6"/>
  <c r="G319" i="6"/>
  <c r="F319" i="6"/>
  <c r="E319" i="6"/>
  <c r="D319" i="6"/>
  <c r="C319" i="6"/>
  <c r="B319" i="6"/>
  <c r="A319" i="6"/>
  <c r="Y318" i="6"/>
  <c r="X318" i="6"/>
  <c r="W318" i="6"/>
  <c r="V318" i="6"/>
  <c r="U318" i="6"/>
  <c r="T318" i="6"/>
  <c r="S318" i="6"/>
  <c r="R318" i="6"/>
  <c r="Q318" i="6"/>
  <c r="P318" i="6"/>
  <c r="O318" i="6"/>
  <c r="N318" i="6"/>
  <c r="M318" i="6"/>
  <c r="J318" i="6"/>
  <c r="I318" i="6"/>
  <c r="H318" i="6"/>
  <c r="G318" i="6"/>
  <c r="F318" i="6"/>
  <c r="E318" i="6"/>
  <c r="D318" i="6"/>
  <c r="C318" i="6"/>
  <c r="B318" i="6"/>
  <c r="A318" i="6"/>
  <c r="Y317" i="6"/>
  <c r="X317" i="6"/>
  <c r="W317" i="6"/>
  <c r="V317" i="6"/>
  <c r="U317" i="6"/>
  <c r="T317" i="6"/>
  <c r="S317" i="6"/>
  <c r="R317" i="6"/>
  <c r="P317" i="6"/>
  <c r="O317" i="6"/>
  <c r="N317" i="6"/>
  <c r="M317" i="6"/>
  <c r="J317" i="6"/>
  <c r="I317" i="6"/>
  <c r="H317" i="6"/>
  <c r="G317" i="6"/>
  <c r="F317" i="6"/>
  <c r="E317" i="6"/>
  <c r="D317" i="6"/>
  <c r="C317" i="6"/>
  <c r="B317" i="6"/>
  <c r="A317" i="6"/>
  <c r="Y316" i="6"/>
  <c r="X316" i="6"/>
  <c r="W316" i="6"/>
  <c r="V316" i="6"/>
  <c r="U316" i="6"/>
  <c r="T316" i="6"/>
  <c r="S316" i="6"/>
  <c r="R316" i="6"/>
  <c r="P316" i="6"/>
  <c r="O316" i="6"/>
  <c r="N316" i="6"/>
  <c r="M316" i="6"/>
  <c r="J316" i="6"/>
  <c r="I316" i="6"/>
  <c r="H316" i="6"/>
  <c r="G316" i="6"/>
  <c r="F316" i="6"/>
  <c r="E316" i="6"/>
  <c r="D316" i="6"/>
  <c r="C316" i="6"/>
  <c r="B316" i="6"/>
  <c r="A316" i="6"/>
  <c r="Y315" i="6"/>
  <c r="X315" i="6"/>
  <c r="W315" i="6"/>
  <c r="V315" i="6"/>
  <c r="U315" i="6"/>
  <c r="T315" i="6"/>
  <c r="S315" i="6"/>
  <c r="R315" i="6"/>
  <c r="Q315" i="6"/>
  <c r="P315" i="6"/>
  <c r="O315" i="6"/>
  <c r="N315" i="6"/>
  <c r="M315" i="6"/>
  <c r="J315" i="6"/>
  <c r="I315" i="6"/>
  <c r="H315" i="6"/>
  <c r="G315" i="6"/>
  <c r="F315" i="6"/>
  <c r="E315" i="6"/>
  <c r="D315" i="6"/>
  <c r="C315" i="6"/>
  <c r="B315" i="6"/>
  <c r="A315" i="6"/>
  <c r="Y314" i="6"/>
  <c r="X314" i="6"/>
  <c r="W314" i="6"/>
  <c r="V314" i="6"/>
  <c r="U314" i="6"/>
  <c r="T314" i="6"/>
  <c r="S314" i="6"/>
  <c r="R314" i="6"/>
  <c r="Q314" i="6"/>
  <c r="P314" i="6"/>
  <c r="O314" i="6"/>
  <c r="N314" i="6"/>
  <c r="M314" i="6"/>
  <c r="J314" i="6"/>
  <c r="I314" i="6"/>
  <c r="H314" i="6"/>
  <c r="G314" i="6"/>
  <c r="F314" i="6"/>
  <c r="E314" i="6"/>
  <c r="D314" i="6"/>
  <c r="C314" i="6"/>
  <c r="B314" i="6"/>
  <c r="A314" i="6"/>
  <c r="Y313" i="6"/>
  <c r="X313" i="6"/>
  <c r="W313" i="6"/>
  <c r="V313" i="6"/>
  <c r="U313" i="6"/>
  <c r="T313" i="6"/>
  <c r="S313" i="6"/>
  <c r="R313" i="6"/>
  <c r="P313" i="6"/>
  <c r="O313" i="6"/>
  <c r="N313" i="6"/>
  <c r="M313" i="6"/>
  <c r="J313" i="6"/>
  <c r="I313" i="6"/>
  <c r="H313" i="6"/>
  <c r="G313" i="6"/>
  <c r="F313" i="6"/>
  <c r="E313" i="6"/>
  <c r="D313" i="6"/>
  <c r="C313" i="6"/>
  <c r="B313" i="6"/>
  <c r="A313" i="6"/>
  <c r="Y312" i="6"/>
  <c r="X312" i="6"/>
  <c r="W312" i="6"/>
  <c r="V312" i="6"/>
  <c r="U312" i="6"/>
  <c r="T312" i="6"/>
  <c r="S312" i="6"/>
  <c r="R312" i="6"/>
  <c r="Q312" i="6"/>
  <c r="P312" i="6"/>
  <c r="O312" i="6"/>
  <c r="N312" i="6"/>
  <c r="M312" i="6"/>
  <c r="J312" i="6"/>
  <c r="I312" i="6"/>
  <c r="H312" i="6"/>
  <c r="G312" i="6"/>
  <c r="F312" i="6"/>
  <c r="E312" i="6"/>
  <c r="D312" i="6"/>
  <c r="C312" i="6"/>
  <c r="B312" i="6"/>
  <c r="A312" i="6"/>
  <c r="Y311" i="6"/>
  <c r="X311" i="6"/>
  <c r="W311" i="6"/>
  <c r="V311" i="6"/>
  <c r="U311" i="6"/>
  <c r="T311" i="6"/>
  <c r="S311" i="6"/>
  <c r="R311" i="6"/>
  <c r="Q311" i="6"/>
  <c r="P311" i="6"/>
  <c r="O311" i="6"/>
  <c r="N311" i="6"/>
  <c r="M311" i="6"/>
  <c r="K311" i="6"/>
  <c r="J311" i="6"/>
  <c r="I311" i="6"/>
  <c r="H311" i="6"/>
  <c r="G311" i="6"/>
  <c r="F311" i="6"/>
  <c r="E311" i="6"/>
  <c r="D311" i="6"/>
  <c r="C311" i="6"/>
  <c r="B311" i="6"/>
  <c r="A311" i="6"/>
  <c r="Y310" i="6"/>
  <c r="X310" i="6"/>
  <c r="W310" i="6"/>
  <c r="V310" i="6"/>
  <c r="U310" i="6"/>
  <c r="T310" i="6"/>
  <c r="S310" i="6"/>
  <c r="R310" i="6"/>
  <c r="Q310" i="6"/>
  <c r="P310" i="6"/>
  <c r="O310" i="6"/>
  <c r="N310" i="6"/>
  <c r="M310" i="6"/>
  <c r="K310" i="6"/>
  <c r="J310" i="6"/>
  <c r="I310" i="6"/>
  <c r="H310" i="6"/>
  <c r="G310" i="6"/>
  <c r="F310" i="6"/>
  <c r="E310" i="6"/>
  <c r="D310" i="6"/>
  <c r="C310" i="6"/>
  <c r="B310" i="6"/>
  <c r="A310" i="6"/>
  <c r="Y309" i="6"/>
  <c r="X309" i="6"/>
  <c r="W309" i="6"/>
  <c r="V309" i="6"/>
  <c r="U309" i="6"/>
  <c r="T309" i="6"/>
  <c r="S309" i="6"/>
  <c r="R309" i="6"/>
  <c r="P309" i="6"/>
  <c r="O309" i="6"/>
  <c r="N309" i="6"/>
  <c r="M309" i="6"/>
  <c r="L309" i="6"/>
  <c r="J309" i="6"/>
  <c r="I309" i="6"/>
  <c r="H309" i="6"/>
  <c r="G309" i="6"/>
  <c r="F309" i="6"/>
  <c r="E309" i="6"/>
  <c r="D309" i="6"/>
  <c r="C309" i="6"/>
  <c r="B309" i="6"/>
  <c r="A309" i="6"/>
  <c r="Y308" i="6"/>
  <c r="X308" i="6"/>
  <c r="W308" i="6"/>
  <c r="V308" i="6"/>
  <c r="U308" i="6"/>
  <c r="T308" i="6"/>
  <c r="S308" i="6"/>
  <c r="R308" i="6"/>
  <c r="Q308" i="6"/>
  <c r="P308" i="6"/>
  <c r="O308" i="6"/>
  <c r="N308" i="6"/>
  <c r="M308" i="6"/>
  <c r="K308" i="6"/>
  <c r="J308" i="6"/>
  <c r="I308" i="6"/>
  <c r="H308" i="6"/>
  <c r="G308" i="6"/>
  <c r="F308" i="6"/>
  <c r="E308" i="6"/>
  <c r="D308" i="6"/>
  <c r="C308" i="6"/>
  <c r="B308" i="6"/>
  <c r="A308" i="6"/>
  <c r="Y307" i="6"/>
  <c r="X307" i="6"/>
  <c r="W307" i="6"/>
  <c r="V307" i="6"/>
  <c r="U307" i="6"/>
  <c r="T307" i="6"/>
  <c r="S307" i="6"/>
  <c r="R307" i="6"/>
  <c r="Q307" i="6"/>
  <c r="P307" i="6"/>
  <c r="O307" i="6"/>
  <c r="N307" i="6"/>
  <c r="M307" i="6"/>
  <c r="L307" i="6"/>
  <c r="K307" i="6"/>
  <c r="J307" i="6"/>
  <c r="I307" i="6"/>
  <c r="H307" i="6"/>
  <c r="G307" i="6"/>
  <c r="F307" i="6"/>
  <c r="E307" i="6"/>
  <c r="D307" i="6"/>
  <c r="C307" i="6"/>
  <c r="B307" i="6"/>
  <c r="A307" i="6"/>
  <c r="Y306" i="6"/>
  <c r="X306" i="6"/>
  <c r="W306" i="6"/>
  <c r="V306" i="6"/>
  <c r="U306" i="6"/>
  <c r="T306" i="6"/>
  <c r="S306" i="6"/>
  <c r="R306" i="6"/>
  <c r="P306" i="6"/>
  <c r="O306" i="6"/>
  <c r="N306" i="6"/>
  <c r="M306" i="6"/>
  <c r="L306" i="6"/>
  <c r="K306" i="6"/>
  <c r="J306" i="6"/>
  <c r="I306" i="6"/>
  <c r="H306" i="6"/>
  <c r="G306" i="6"/>
  <c r="F306" i="6"/>
  <c r="E306" i="6"/>
  <c r="D306" i="6"/>
  <c r="C306" i="6"/>
  <c r="B306" i="6"/>
  <c r="A306" i="6"/>
  <c r="Y305" i="6"/>
  <c r="X305" i="6"/>
  <c r="W305" i="6"/>
  <c r="V305" i="6"/>
  <c r="U305" i="6"/>
  <c r="T305" i="6"/>
  <c r="S305" i="6"/>
  <c r="R305" i="6"/>
  <c r="Q305" i="6"/>
  <c r="P305" i="6"/>
  <c r="O305" i="6"/>
  <c r="N305" i="6"/>
  <c r="M305" i="6"/>
  <c r="L305" i="6"/>
  <c r="K305" i="6"/>
  <c r="J305" i="6"/>
  <c r="I305" i="6"/>
  <c r="H305" i="6"/>
  <c r="G305" i="6"/>
  <c r="F305" i="6"/>
  <c r="E305" i="6"/>
  <c r="D305" i="6"/>
  <c r="C305" i="6"/>
  <c r="B305" i="6"/>
  <c r="A305" i="6"/>
  <c r="Y304" i="6"/>
  <c r="X304" i="6"/>
  <c r="W304" i="6"/>
  <c r="V304" i="6"/>
  <c r="U304" i="6"/>
  <c r="T304" i="6"/>
  <c r="S304" i="6"/>
  <c r="R304" i="6"/>
  <c r="Q304" i="6"/>
  <c r="P304" i="6"/>
  <c r="O304" i="6"/>
  <c r="N304" i="6"/>
  <c r="M304" i="6"/>
  <c r="L304" i="6"/>
  <c r="J304" i="6"/>
  <c r="I304" i="6"/>
  <c r="H304" i="6"/>
  <c r="G304" i="6"/>
  <c r="F304" i="6"/>
  <c r="E304" i="6"/>
  <c r="D304" i="6"/>
  <c r="C304" i="6"/>
  <c r="B304" i="6"/>
  <c r="A304" i="6"/>
  <c r="Y303" i="6"/>
  <c r="X303" i="6"/>
  <c r="W303" i="6"/>
  <c r="V303" i="6"/>
  <c r="U303" i="6"/>
  <c r="T303" i="6"/>
  <c r="S303" i="6"/>
  <c r="R303" i="6"/>
  <c r="P303" i="6"/>
  <c r="O303" i="6"/>
  <c r="N303" i="6"/>
  <c r="M303" i="6"/>
  <c r="J303" i="6"/>
  <c r="I303" i="6"/>
  <c r="H303" i="6"/>
  <c r="G303" i="6"/>
  <c r="F303" i="6"/>
  <c r="E303" i="6"/>
  <c r="D303" i="6"/>
  <c r="C303" i="6"/>
  <c r="B303" i="6"/>
  <c r="A303" i="6"/>
  <c r="Y302" i="6"/>
  <c r="X302" i="6"/>
  <c r="W302" i="6"/>
  <c r="V302" i="6"/>
  <c r="U302" i="6"/>
  <c r="T302" i="6"/>
  <c r="S302" i="6"/>
  <c r="R302" i="6"/>
  <c r="Q302" i="6"/>
  <c r="P302" i="6"/>
  <c r="O302" i="6"/>
  <c r="N302" i="6"/>
  <c r="M302" i="6"/>
  <c r="K302" i="6"/>
  <c r="J302" i="6"/>
  <c r="I302" i="6"/>
  <c r="H302" i="6"/>
  <c r="G302" i="6"/>
  <c r="F302" i="6"/>
  <c r="E302" i="6"/>
  <c r="D302" i="6"/>
  <c r="C302" i="6"/>
  <c r="B302" i="6"/>
  <c r="A302" i="6"/>
  <c r="Y301" i="6"/>
  <c r="X301" i="6"/>
  <c r="W301" i="6"/>
  <c r="V301" i="6"/>
  <c r="U301" i="6"/>
  <c r="T301" i="6"/>
  <c r="S301" i="6"/>
  <c r="R301" i="6"/>
  <c r="Q301" i="6"/>
  <c r="P301" i="6"/>
  <c r="O301" i="6"/>
  <c r="N301" i="6"/>
  <c r="M301" i="6"/>
  <c r="L301" i="6"/>
  <c r="J301" i="6"/>
  <c r="I301" i="6"/>
  <c r="H301" i="6"/>
  <c r="G301" i="6"/>
  <c r="F301" i="6"/>
  <c r="E301" i="6"/>
  <c r="D301" i="6"/>
  <c r="C301" i="6"/>
  <c r="B301" i="6"/>
  <c r="A301" i="6"/>
  <c r="Y300" i="6"/>
  <c r="X300" i="6"/>
  <c r="W300" i="6"/>
  <c r="V300" i="6"/>
  <c r="U300" i="6"/>
  <c r="T300" i="6"/>
  <c r="S300" i="6"/>
  <c r="R300" i="6"/>
  <c r="Q300" i="6"/>
  <c r="P300" i="6"/>
  <c r="O300" i="6"/>
  <c r="N300" i="6"/>
  <c r="M300" i="6"/>
  <c r="L300" i="6"/>
  <c r="K300" i="6"/>
  <c r="J300" i="6"/>
  <c r="I300" i="6"/>
  <c r="H300" i="6"/>
  <c r="G300" i="6"/>
  <c r="F300" i="6"/>
  <c r="E300" i="6"/>
  <c r="D300" i="6"/>
  <c r="C300" i="6"/>
  <c r="B300" i="6"/>
  <c r="A300" i="6"/>
  <c r="Y299" i="6"/>
  <c r="X299" i="6"/>
  <c r="W299" i="6"/>
  <c r="V299" i="6"/>
  <c r="U299" i="6"/>
  <c r="T299" i="6"/>
  <c r="S299" i="6"/>
  <c r="R299" i="6"/>
  <c r="P299" i="6"/>
  <c r="O299" i="6"/>
  <c r="N299" i="6"/>
  <c r="M299" i="6"/>
  <c r="L299" i="6"/>
  <c r="K299" i="6"/>
  <c r="J299" i="6"/>
  <c r="I299" i="6"/>
  <c r="H299" i="6"/>
  <c r="G299" i="6"/>
  <c r="F299" i="6"/>
  <c r="E299" i="6"/>
  <c r="D299" i="6"/>
  <c r="C299" i="6"/>
  <c r="B299" i="6"/>
  <c r="A299" i="6"/>
  <c r="Y298" i="6"/>
  <c r="X298" i="6"/>
  <c r="W298" i="6"/>
  <c r="V298" i="6"/>
  <c r="U298" i="6"/>
  <c r="T298" i="6"/>
  <c r="S298" i="6"/>
  <c r="R298" i="6"/>
  <c r="Q298" i="6"/>
  <c r="P298" i="6"/>
  <c r="O298" i="6"/>
  <c r="N298" i="6"/>
  <c r="M298" i="6"/>
  <c r="L298" i="6"/>
  <c r="K298" i="6"/>
  <c r="J298" i="6"/>
  <c r="I298" i="6"/>
  <c r="H298" i="6"/>
  <c r="G298" i="6"/>
  <c r="F298" i="6"/>
  <c r="E298" i="6"/>
  <c r="D298" i="6"/>
  <c r="C298" i="6"/>
  <c r="B298" i="6"/>
  <c r="A298" i="6"/>
  <c r="Y297" i="6"/>
  <c r="X297" i="6"/>
  <c r="W297" i="6"/>
  <c r="V297" i="6"/>
  <c r="U297" i="6"/>
  <c r="T297" i="6"/>
  <c r="S297" i="6"/>
  <c r="R297" i="6"/>
  <c r="Q297" i="6"/>
  <c r="P297" i="6"/>
  <c r="O297" i="6"/>
  <c r="N297" i="6"/>
  <c r="M297" i="6"/>
  <c r="L297" i="6"/>
  <c r="K297" i="6"/>
  <c r="J297" i="6"/>
  <c r="I297" i="6"/>
  <c r="H297" i="6"/>
  <c r="G297" i="6"/>
  <c r="F297" i="6"/>
  <c r="E297" i="6"/>
  <c r="D297" i="6"/>
  <c r="C297" i="6"/>
  <c r="B297" i="6"/>
  <c r="A297" i="6"/>
  <c r="Y296" i="6"/>
  <c r="X296" i="6"/>
  <c r="W296" i="6"/>
  <c r="V296" i="6"/>
  <c r="U296" i="6"/>
  <c r="T296" i="6"/>
  <c r="S296" i="6"/>
  <c r="R296" i="6"/>
  <c r="Q296" i="6"/>
  <c r="P296" i="6"/>
  <c r="O296" i="6"/>
  <c r="N296" i="6"/>
  <c r="M296" i="6"/>
  <c r="L296" i="6"/>
  <c r="K296" i="6"/>
  <c r="J296" i="6"/>
  <c r="I296" i="6"/>
  <c r="H296" i="6"/>
  <c r="G296" i="6"/>
  <c r="F296" i="6"/>
  <c r="E296" i="6"/>
  <c r="D296" i="6"/>
  <c r="C296" i="6"/>
  <c r="B296" i="6"/>
  <c r="A296" i="6"/>
  <c r="Y295" i="6"/>
  <c r="X295" i="6"/>
  <c r="W295" i="6"/>
  <c r="V295" i="6"/>
  <c r="U295" i="6"/>
  <c r="T295" i="6"/>
  <c r="S295" i="6"/>
  <c r="R295" i="6"/>
  <c r="Q295" i="6"/>
  <c r="P295" i="6"/>
  <c r="O295" i="6"/>
  <c r="N295" i="6"/>
  <c r="M295" i="6"/>
  <c r="L295" i="6"/>
  <c r="K295" i="6"/>
  <c r="J295" i="6"/>
  <c r="I295" i="6"/>
  <c r="H295" i="6"/>
  <c r="G295" i="6"/>
  <c r="F295" i="6"/>
  <c r="E295" i="6"/>
  <c r="D295" i="6"/>
  <c r="C295" i="6"/>
  <c r="B295" i="6"/>
  <c r="A295" i="6"/>
  <c r="Y294" i="6"/>
  <c r="X294" i="6"/>
  <c r="W294" i="6"/>
  <c r="V294" i="6"/>
  <c r="U294" i="6"/>
  <c r="T294" i="6"/>
  <c r="S294" i="6"/>
  <c r="R294" i="6"/>
  <c r="Q294" i="6"/>
  <c r="P294" i="6"/>
  <c r="O294" i="6"/>
  <c r="N294" i="6"/>
  <c r="M294" i="6"/>
  <c r="L294" i="6"/>
  <c r="K294" i="6"/>
  <c r="J294" i="6"/>
  <c r="I294" i="6"/>
  <c r="H294" i="6"/>
  <c r="G294" i="6"/>
  <c r="F294" i="6"/>
  <c r="E294" i="6"/>
  <c r="D294" i="6"/>
  <c r="C294" i="6"/>
  <c r="B294" i="6"/>
  <c r="A294" i="6"/>
  <c r="Y293" i="6"/>
  <c r="X293" i="6"/>
  <c r="W293" i="6"/>
  <c r="V293" i="6"/>
  <c r="U293" i="6"/>
  <c r="T293" i="6"/>
  <c r="S293" i="6"/>
  <c r="R293" i="6"/>
  <c r="Q293" i="6"/>
  <c r="P293" i="6"/>
  <c r="O293" i="6"/>
  <c r="N293" i="6"/>
  <c r="M293" i="6"/>
  <c r="L293" i="6"/>
  <c r="J293" i="6"/>
  <c r="I293" i="6"/>
  <c r="H293" i="6"/>
  <c r="G293" i="6"/>
  <c r="F293" i="6"/>
  <c r="E293" i="6"/>
  <c r="D293" i="6"/>
  <c r="C293" i="6"/>
  <c r="B293" i="6"/>
  <c r="A293" i="6"/>
  <c r="Y292" i="6"/>
  <c r="X292" i="6"/>
  <c r="W292" i="6"/>
  <c r="V292" i="6"/>
  <c r="U292" i="6"/>
  <c r="T292" i="6"/>
  <c r="S292" i="6"/>
  <c r="R292" i="6"/>
  <c r="P292" i="6"/>
  <c r="O292" i="6"/>
  <c r="N292" i="6"/>
  <c r="M292" i="6"/>
  <c r="L292" i="6"/>
  <c r="K292" i="6"/>
  <c r="J292" i="6"/>
  <c r="I292" i="6"/>
  <c r="H292" i="6"/>
  <c r="G292" i="6"/>
  <c r="F292" i="6"/>
  <c r="E292" i="6"/>
  <c r="D292" i="6"/>
  <c r="C292" i="6"/>
  <c r="B292" i="6"/>
  <c r="A292" i="6"/>
  <c r="Y291" i="6"/>
  <c r="X291" i="6"/>
  <c r="W291" i="6"/>
  <c r="V291" i="6"/>
  <c r="U291" i="6"/>
  <c r="T291" i="6"/>
  <c r="S291" i="6"/>
  <c r="R291" i="6"/>
  <c r="Q291" i="6"/>
  <c r="P291" i="6"/>
  <c r="O291" i="6"/>
  <c r="N291" i="6"/>
  <c r="M291" i="6"/>
  <c r="L291" i="6"/>
  <c r="K291" i="6"/>
  <c r="J291" i="6"/>
  <c r="I291" i="6"/>
  <c r="H291" i="6"/>
  <c r="G291" i="6"/>
  <c r="F291" i="6"/>
  <c r="E291" i="6"/>
  <c r="D291" i="6"/>
  <c r="C291" i="6"/>
  <c r="B291" i="6"/>
  <c r="A291" i="6"/>
  <c r="Y290" i="6"/>
  <c r="X290" i="6"/>
  <c r="W290" i="6"/>
  <c r="V290" i="6"/>
  <c r="U290" i="6"/>
  <c r="T290" i="6"/>
  <c r="S290" i="6"/>
  <c r="R290" i="6"/>
  <c r="Q290" i="6"/>
  <c r="P290" i="6"/>
  <c r="O290" i="6"/>
  <c r="N290" i="6"/>
  <c r="M290" i="6"/>
  <c r="L290" i="6"/>
  <c r="K290" i="6"/>
  <c r="J290" i="6"/>
  <c r="I290" i="6"/>
  <c r="H290" i="6"/>
  <c r="G290" i="6"/>
  <c r="F290" i="6"/>
  <c r="E290" i="6"/>
  <c r="D290" i="6"/>
  <c r="C290" i="6"/>
  <c r="B290" i="6"/>
  <c r="A290" i="6"/>
  <c r="Y289" i="6"/>
  <c r="X289" i="6"/>
  <c r="W289" i="6"/>
  <c r="V289" i="6"/>
  <c r="U289" i="6"/>
  <c r="T289" i="6"/>
  <c r="S289" i="6"/>
  <c r="R289" i="6"/>
  <c r="Q289" i="6"/>
  <c r="P289" i="6"/>
  <c r="O289" i="6"/>
  <c r="N289" i="6"/>
  <c r="M289" i="6"/>
  <c r="L289" i="6"/>
  <c r="K289" i="6"/>
  <c r="J289" i="6"/>
  <c r="I289" i="6"/>
  <c r="H289" i="6"/>
  <c r="G289" i="6"/>
  <c r="F289" i="6"/>
  <c r="E289" i="6"/>
  <c r="D289" i="6"/>
  <c r="C289" i="6"/>
  <c r="B289" i="6"/>
  <c r="A289" i="6"/>
  <c r="Y288" i="6"/>
  <c r="X288" i="6"/>
  <c r="W288" i="6"/>
  <c r="V288" i="6"/>
  <c r="U288" i="6"/>
  <c r="T288" i="6"/>
  <c r="S288" i="6"/>
  <c r="R288" i="6"/>
  <c r="Q288" i="6"/>
  <c r="P288" i="6"/>
  <c r="O288" i="6"/>
  <c r="N288" i="6"/>
  <c r="M288" i="6"/>
  <c r="K288" i="6"/>
  <c r="J288" i="6"/>
  <c r="I288" i="6"/>
  <c r="H288" i="6"/>
  <c r="G288" i="6"/>
  <c r="F288" i="6"/>
  <c r="E288" i="6"/>
  <c r="D288" i="6"/>
  <c r="C288" i="6"/>
  <c r="B288" i="6"/>
  <c r="A288" i="6"/>
  <c r="Y287" i="6"/>
  <c r="X287" i="6"/>
  <c r="W287" i="6"/>
  <c r="V287" i="6"/>
  <c r="U287" i="6"/>
  <c r="T287" i="6"/>
  <c r="S287" i="6"/>
  <c r="R287" i="6"/>
  <c r="P287" i="6"/>
  <c r="O287" i="6"/>
  <c r="N287" i="6"/>
  <c r="M287" i="6"/>
  <c r="J287" i="6"/>
  <c r="I287" i="6"/>
  <c r="H287" i="6"/>
  <c r="G287" i="6"/>
  <c r="F287" i="6"/>
  <c r="E287" i="6"/>
  <c r="D287" i="6"/>
  <c r="C287" i="6"/>
  <c r="B287" i="6"/>
  <c r="A287" i="6"/>
  <c r="Y286" i="6"/>
  <c r="X286" i="6"/>
  <c r="W286" i="6"/>
  <c r="V286" i="6"/>
  <c r="U286" i="6"/>
  <c r="T286" i="6"/>
  <c r="S286" i="6"/>
  <c r="R286" i="6"/>
  <c r="Q286" i="6"/>
  <c r="P286" i="6"/>
  <c r="O286" i="6"/>
  <c r="N286" i="6"/>
  <c r="M286" i="6"/>
  <c r="K286" i="6"/>
  <c r="J286" i="6"/>
  <c r="I286" i="6"/>
  <c r="H286" i="6"/>
  <c r="G286" i="6"/>
  <c r="F286" i="6"/>
  <c r="E286" i="6"/>
  <c r="D286" i="6"/>
  <c r="C286" i="6"/>
  <c r="B286" i="6"/>
  <c r="A286" i="6"/>
  <c r="Y285" i="6"/>
  <c r="X285" i="6"/>
  <c r="W285" i="6"/>
  <c r="V285" i="6"/>
  <c r="U285" i="6"/>
  <c r="T285" i="6"/>
  <c r="S285" i="6"/>
  <c r="R285" i="6"/>
  <c r="Q285" i="6"/>
  <c r="P285" i="6"/>
  <c r="O285" i="6"/>
  <c r="N285" i="6"/>
  <c r="M285" i="6"/>
  <c r="J285" i="6"/>
  <c r="I285" i="6"/>
  <c r="H285" i="6"/>
  <c r="G285" i="6"/>
  <c r="F285" i="6"/>
  <c r="E285" i="6"/>
  <c r="D285" i="6"/>
  <c r="C285" i="6"/>
  <c r="B285" i="6"/>
  <c r="A285" i="6"/>
  <c r="Y284" i="6"/>
  <c r="X284" i="6"/>
  <c r="W284" i="6"/>
  <c r="V284" i="6"/>
  <c r="U284" i="6"/>
  <c r="T284" i="6"/>
  <c r="S284" i="6"/>
  <c r="R284" i="6"/>
  <c r="P284" i="6"/>
  <c r="O284" i="6"/>
  <c r="N284" i="6"/>
  <c r="M284" i="6"/>
  <c r="J284" i="6"/>
  <c r="I284" i="6"/>
  <c r="H284" i="6"/>
  <c r="G284" i="6"/>
  <c r="F284" i="6"/>
  <c r="E284" i="6"/>
  <c r="D284" i="6"/>
  <c r="C284" i="6"/>
  <c r="B284" i="6"/>
  <c r="A284" i="6"/>
  <c r="Y283" i="6"/>
  <c r="X283" i="6"/>
  <c r="W283" i="6"/>
  <c r="V283" i="6"/>
  <c r="U283" i="6"/>
  <c r="T283" i="6"/>
  <c r="S283" i="6"/>
  <c r="R283" i="6"/>
  <c r="Q283" i="6"/>
  <c r="P283" i="6"/>
  <c r="O283" i="6"/>
  <c r="N283" i="6"/>
  <c r="M283" i="6"/>
  <c r="J283" i="6"/>
  <c r="I283" i="6"/>
  <c r="H283" i="6"/>
  <c r="G283" i="6"/>
  <c r="F283" i="6"/>
  <c r="E283" i="6"/>
  <c r="D283" i="6"/>
  <c r="C283" i="6"/>
  <c r="B283" i="6"/>
  <c r="A283" i="6"/>
  <c r="Y282" i="6"/>
  <c r="X282" i="6"/>
  <c r="W282" i="6"/>
  <c r="V282" i="6"/>
  <c r="U282" i="6"/>
  <c r="T282" i="6"/>
  <c r="S282" i="6"/>
  <c r="R282" i="6"/>
  <c r="Q282" i="6"/>
  <c r="P282" i="6"/>
  <c r="O282" i="6"/>
  <c r="N282" i="6"/>
  <c r="M282" i="6"/>
  <c r="J282" i="6"/>
  <c r="I282" i="6"/>
  <c r="H282" i="6"/>
  <c r="G282" i="6"/>
  <c r="F282" i="6"/>
  <c r="E282" i="6"/>
  <c r="D282" i="6"/>
  <c r="C282" i="6"/>
  <c r="B282" i="6"/>
  <c r="A282" i="6"/>
  <c r="Y281" i="6"/>
  <c r="X281" i="6"/>
  <c r="W281" i="6"/>
  <c r="V281" i="6"/>
  <c r="U281" i="6"/>
  <c r="T281" i="6"/>
  <c r="S281" i="6"/>
  <c r="R281" i="6"/>
  <c r="Q281" i="6"/>
  <c r="P281" i="6"/>
  <c r="O281" i="6"/>
  <c r="N281" i="6"/>
  <c r="M281" i="6"/>
  <c r="K281" i="6"/>
  <c r="J281" i="6"/>
  <c r="I281" i="6"/>
  <c r="H281" i="6"/>
  <c r="G281" i="6"/>
  <c r="F281" i="6"/>
  <c r="E281" i="6"/>
  <c r="D281" i="6"/>
  <c r="C281" i="6"/>
  <c r="B281" i="6"/>
  <c r="A281" i="6"/>
  <c r="Y280" i="6"/>
  <c r="X280" i="6"/>
  <c r="W280" i="6"/>
  <c r="V280" i="6"/>
  <c r="U280" i="6"/>
  <c r="T280" i="6"/>
  <c r="S280" i="6"/>
  <c r="R280" i="6"/>
  <c r="Q280" i="6"/>
  <c r="P280" i="6"/>
  <c r="O280" i="6"/>
  <c r="N280" i="6"/>
  <c r="M280" i="6"/>
  <c r="K280" i="6"/>
  <c r="J280" i="6"/>
  <c r="I280" i="6"/>
  <c r="H280" i="6"/>
  <c r="G280" i="6"/>
  <c r="F280" i="6"/>
  <c r="E280" i="6"/>
  <c r="D280" i="6"/>
  <c r="C280" i="6"/>
  <c r="B280" i="6"/>
  <c r="A280" i="6"/>
  <c r="Y279" i="6"/>
  <c r="X279" i="6"/>
  <c r="W279" i="6"/>
  <c r="V279" i="6"/>
  <c r="U279" i="6"/>
  <c r="T279" i="6"/>
  <c r="S279" i="6"/>
  <c r="R279" i="6"/>
  <c r="Q279" i="6"/>
  <c r="P279" i="6"/>
  <c r="O279" i="6"/>
  <c r="N279" i="6"/>
  <c r="M279" i="6"/>
  <c r="L279" i="6"/>
  <c r="J279" i="6"/>
  <c r="I279" i="6"/>
  <c r="H279" i="6"/>
  <c r="G279" i="6"/>
  <c r="F279" i="6"/>
  <c r="E279" i="6"/>
  <c r="D279" i="6"/>
  <c r="C279" i="6"/>
  <c r="B279" i="6"/>
  <c r="A279" i="6"/>
  <c r="Y278" i="6"/>
  <c r="X278" i="6"/>
  <c r="W278" i="6"/>
  <c r="V278" i="6"/>
  <c r="U278" i="6"/>
  <c r="T278" i="6"/>
  <c r="S278" i="6"/>
  <c r="R278" i="6"/>
  <c r="Q278" i="6"/>
  <c r="P278" i="6"/>
  <c r="O278" i="6"/>
  <c r="N278" i="6"/>
  <c r="M278" i="6"/>
  <c r="L278" i="6"/>
  <c r="J278" i="6"/>
  <c r="I278" i="6"/>
  <c r="H278" i="6"/>
  <c r="G278" i="6"/>
  <c r="F278" i="6"/>
  <c r="E278" i="6"/>
  <c r="D278" i="6"/>
  <c r="C278" i="6"/>
  <c r="B278" i="6"/>
  <c r="A278" i="6"/>
  <c r="Y277" i="6"/>
  <c r="X277" i="6"/>
  <c r="W277" i="6"/>
  <c r="V277" i="6"/>
  <c r="U277" i="6"/>
  <c r="T277" i="6"/>
  <c r="S277" i="6"/>
  <c r="R277" i="6"/>
  <c r="Q277" i="6"/>
  <c r="P277" i="6"/>
  <c r="O277" i="6"/>
  <c r="N277" i="6"/>
  <c r="M277" i="6"/>
  <c r="L277" i="6"/>
  <c r="K277" i="6"/>
  <c r="J277" i="6"/>
  <c r="I277" i="6"/>
  <c r="H277" i="6"/>
  <c r="G277" i="6"/>
  <c r="F277" i="6"/>
  <c r="E277" i="6"/>
  <c r="D277" i="6"/>
  <c r="C277" i="6"/>
  <c r="B277" i="6"/>
  <c r="A277" i="6"/>
  <c r="Y276" i="6"/>
  <c r="X276" i="6"/>
  <c r="W276" i="6"/>
  <c r="V276" i="6"/>
  <c r="U276" i="6"/>
  <c r="T276" i="6"/>
  <c r="S276" i="6"/>
  <c r="R276" i="6"/>
  <c r="Q276" i="6"/>
  <c r="P276" i="6"/>
  <c r="O276" i="6"/>
  <c r="N276" i="6"/>
  <c r="M276" i="6"/>
  <c r="J276" i="6"/>
  <c r="I276" i="6"/>
  <c r="H276" i="6"/>
  <c r="G276" i="6"/>
  <c r="F276" i="6"/>
  <c r="E276" i="6"/>
  <c r="D276" i="6"/>
  <c r="C276" i="6"/>
  <c r="B276" i="6"/>
  <c r="A276" i="6"/>
  <c r="Y275" i="6"/>
  <c r="X275" i="6"/>
  <c r="W275" i="6"/>
  <c r="V275" i="6"/>
  <c r="U275" i="6"/>
  <c r="T275" i="6"/>
  <c r="S275" i="6"/>
  <c r="R275" i="6"/>
  <c r="Q275" i="6"/>
  <c r="P275" i="6"/>
  <c r="O275" i="6"/>
  <c r="N275" i="6"/>
  <c r="M275" i="6"/>
  <c r="L275" i="6"/>
  <c r="J275" i="6"/>
  <c r="I275" i="6"/>
  <c r="H275" i="6"/>
  <c r="G275" i="6"/>
  <c r="F275" i="6"/>
  <c r="E275" i="6"/>
  <c r="D275" i="6"/>
  <c r="C275" i="6"/>
  <c r="B275" i="6"/>
  <c r="A275" i="6"/>
  <c r="Y274" i="6"/>
  <c r="X274" i="6"/>
  <c r="W274" i="6"/>
  <c r="V274" i="6"/>
  <c r="U274" i="6"/>
  <c r="T274" i="6"/>
  <c r="S274" i="6"/>
  <c r="R274" i="6"/>
  <c r="Q274" i="6"/>
  <c r="P274" i="6"/>
  <c r="O274" i="6"/>
  <c r="N274" i="6"/>
  <c r="M274" i="6"/>
  <c r="L274" i="6"/>
  <c r="J274" i="6"/>
  <c r="I274" i="6"/>
  <c r="H274" i="6"/>
  <c r="G274" i="6"/>
  <c r="F274" i="6"/>
  <c r="E274" i="6"/>
  <c r="D274" i="6"/>
  <c r="C274" i="6"/>
  <c r="B274" i="6"/>
  <c r="A274" i="6"/>
  <c r="Y273" i="6"/>
  <c r="X273" i="6"/>
  <c r="W273" i="6"/>
  <c r="V273" i="6"/>
  <c r="U273" i="6"/>
  <c r="T273" i="6"/>
  <c r="S273" i="6"/>
  <c r="R273" i="6"/>
  <c r="Q273" i="6"/>
  <c r="P273" i="6"/>
  <c r="O273" i="6"/>
  <c r="N273" i="6"/>
  <c r="M273" i="6"/>
  <c r="K273" i="6"/>
  <c r="J273" i="6"/>
  <c r="I273" i="6"/>
  <c r="H273" i="6"/>
  <c r="G273" i="6"/>
  <c r="F273" i="6"/>
  <c r="E273" i="6"/>
  <c r="D273" i="6"/>
  <c r="C273" i="6"/>
  <c r="B273" i="6"/>
  <c r="A273" i="6"/>
  <c r="Y272" i="6"/>
  <c r="X272" i="6"/>
  <c r="W272" i="6"/>
  <c r="V272" i="6"/>
  <c r="U272" i="6"/>
  <c r="T272" i="6"/>
  <c r="S272" i="6"/>
  <c r="R272" i="6"/>
  <c r="Q272" i="6"/>
  <c r="P272" i="6"/>
  <c r="O272" i="6"/>
  <c r="N272" i="6"/>
  <c r="M272" i="6"/>
  <c r="L272" i="6"/>
  <c r="K272" i="6"/>
  <c r="J272" i="6"/>
  <c r="I272" i="6"/>
  <c r="H272" i="6"/>
  <c r="G272" i="6"/>
  <c r="F272" i="6"/>
  <c r="E272" i="6"/>
  <c r="D272" i="6"/>
  <c r="C272" i="6"/>
  <c r="B272" i="6"/>
  <c r="A272" i="6"/>
  <c r="Y271" i="6"/>
  <c r="X271" i="6"/>
  <c r="W271" i="6"/>
  <c r="V271" i="6"/>
  <c r="U271" i="6"/>
  <c r="T271" i="6"/>
  <c r="S271" i="6"/>
  <c r="R271" i="6"/>
  <c r="Q271" i="6"/>
  <c r="P271" i="6"/>
  <c r="O271" i="6"/>
  <c r="N271" i="6"/>
  <c r="M271" i="6"/>
  <c r="L271" i="6"/>
  <c r="J271" i="6"/>
  <c r="I271" i="6"/>
  <c r="H271" i="6"/>
  <c r="G271" i="6"/>
  <c r="F271" i="6"/>
  <c r="E271" i="6"/>
  <c r="D271" i="6"/>
  <c r="C271" i="6"/>
  <c r="B271" i="6"/>
  <c r="A271" i="6"/>
  <c r="Y270" i="6"/>
  <c r="X270" i="6"/>
  <c r="W270" i="6"/>
  <c r="V270" i="6"/>
  <c r="U270" i="6"/>
  <c r="T270" i="6"/>
  <c r="S270" i="6"/>
  <c r="R270" i="6"/>
  <c r="Q270" i="6"/>
  <c r="P270" i="6"/>
  <c r="O270" i="6"/>
  <c r="N270" i="6"/>
  <c r="M270" i="6"/>
  <c r="L270" i="6"/>
  <c r="J270" i="6"/>
  <c r="I270" i="6"/>
  <c r="H270" i="6"/>
  <c r="G270" i="6"/>
  <c r="F270" i="6"/>
  <c r="E270" i="6"/>
  <c r="D270" i="6"/>
  <c r="C270" i="6"/>
  <c r="B270" i="6"/>
  <c r="A270" i="6"/>
  <c r="Y269" i="6"/>
  <c r="X269" i="6"/>
  <c r="W269" i="6"/>
  <c r="V269" i="6"/>
  <c r="U269" i="6"/>
  <c r="T269" i="6"/>
  <c r="S269" i="6"/>
  <c r="R269" i="6"/>
  <c r="P269" i="6"/>
  <c r="O269" i="6"/>
  <c r="N269" i="6"/>
  <c r="M269" i="6"/>
  <c r="L269" i="6"/>
  <c r="K269" i="6"/>
  <c r="J269" i="6"/>
  <c r="I269" i="6"/>
  <c r="H269" i="6"/>
  <c r="G269" i="6"/>
  <c r="F269" i="6"/>
  <c r="E269" i="6"/>
  <c r="D269" i="6"/>
  <c r="C269" i="6"/>
  <c r="B269" i="6"/>
  <c r="A269" i="6"/>
  <c r="Y268" i="6"/>
  <c r="X268" i="6"/>
  <c r="W268" i="6"/>
  <c r="V268" i="6"/>
  <c r="U268" i="6"/>
  <c r="T268" i="6"/>
  <c r="S268" i="6"/>
  <c r="R268" i="6"/>
  <c r="P268" i="6"/>
  <c r="O268" i="6"/>
  <c r="N268" i="6"/>
  <c r="M268" i="6"/>
  <c r="J268" i="6"/>
  <c r="I268" i="6"/>
  <c r="H268" i="6"/>
  <c r="G268" i="6"/>
  <c r="F268" i="6"/>
  <c r="E268" i="6"/>
  <c r="D268" i="6"/>
  <c r="C268" i="6"/>
  <c r="B268" i="6"/>
  <c r="A268" i="6"/>
  <c r="Y267" i="6"/>
  <c r="X267" i="6"/>
  <c r="W267" i="6"/>
  <c r="V267" i="6"/>
  <c r="U267" i="6"/>
  <c r="T267" i="6"/>
  <c r="S267" i="6"/>
  <c r="R267" i="6"/>
  <c r="Q267" i="6"/>
  <c r="P267" i="6"/>
  <c r="O267" i="6"/>
  <c r="N267" i="6"/>
  <c r="M267" i="6"/>
  <c r="K267" i="6"/>
  <c r="J267" i="6"/>
  <c r="I267" i="6"/>
  <c r="H267" i="6"/>
  <c r="G267" i="6"/>
  <c r="F267" i="6"/>
  <c r="E267" i="6"/>
  <c r="D267" i="6"/>
  <c r="C267" i="6"/>
  <c r="B267" i="6"/>
  <c r="A267" i="6"/>
  <c r="Y266" i="6"/>
  <c r="X266" i="6"/>
  <c r="W266" i="6"/>
  <c r="V266" i="6"/>
  <c r="U266" i="6"/>
  <c r="T266" i="6"/>
  <c r="S266" i="6"/>
  <c r="R266" i="6"/>
  <c r="Q266" i="6"/>
  <c r="P266" i="6"/>
  <c r="O266" i="6"/>
  <c r="N266" i="6"/>
  <c r="M266" i="6"/>
  <c r="J266" i="6"/>
  <c r="I266" i="6"/>
  <c r="H266" i="6"/>
  <c r="G266" i="6"/>
  <c r="F266" i="6"/>
  <c r="E266" i="6"/>
  <c r="D266" i="6"/>
  <c r="C266" i="6"/>
  <c r="B266" i="6"/>
  <c r="A266" i="6"/>
  <c r="Y265" i="6"/>
  <c r="X265" i="6"/>
  <c r="W265" i="6"/>
  <c r="V265" i="6"/>
  <c r="U265" i="6"/>
  <c r="T265" i="6"/>
  <c r="S265" i="6"/>
  <c r="R265" i="6"/>
  <c r="P265" i="6"/>
  <c r="O265" i="6"/>
  <c r="N265" i="6"/>
  <c r="M265" i="6"/>
  <c r="L265" i="6"/>
  <c r="J265" i="6"/>
  <c r="I265" i="6"/>
  <c r="H265" i="6"/>
  <c r="G265" i="6"/>
  <c r="F265" i="6"/>
  <c r="E265" i="6"/>
  <c r="D265" i="6"/>
  <c r="C265" i="6"/>
  <c r="B265" i="6"/>
  <c r="A265" i="6"/>
  <c r="Y264" i="6"/>
  <c r="X264" i="6"/>
  <c r="W264" i="6"/>
  <c r="V264" i="6"/>
  <c r="U264" i="6"/>
  <c r="T264" i="6"/>
  <c r="S264" i="6"/>
  <c r="R264" i="6"/>
  <c r="Q264" i="6"/>
  <c r="P264" i="6"/>
  <c r="O264" i="6"/>
  <c r="N264" i="6"/>
  <c r="M264" i="6"/>
  <c r="L264" i="6"/>
  <c r="J264" i="6"/>
  <c r="I264" i="6"/>
  <c r="H264" i="6"/>
  <c r="G264" i="6"/>
  <c r="F264" i="6"/>
  <c r="E264" i="6"/>
  <c r="D264" i="6"/>
  <c r="C264" i="6"/>
  <c r="B264" i="6"/>
  <c r="A264" i="6"/>
  <c r="Y263" i="6"/>
  <c r="X263" i="6"/>
  <c r="W263" i="6"/>
  <c r="V263" i="6"/>
  <c r="U263" i="6"/>
  <c r="T263" i="6"/>
  <c r="S263" i="6"/>
  <c r="R263" i="6"/>
  <c r="Q263" i="6"/>
  <c r="P263" i="6"/>
  <c r="O263" i="6"/>
  <c r="N263" i="6"/>
  <c r="M263" i="6"/>
  <c r="L263" i="6"/>
  <c r="K263" i="6"/>
  <c r="J263" i="6"/>
  <c r="I263" i="6"/>
  <c r="H263" i="6"/>
  <c r="G263" i="6"/>
  <c r="F263" i="6"/>
  <c r="E263" i="6"/>
  <c r="D263" i="6"/>
  <c r="C263" i="6"/>
  <c r="B263" i="6"/>
  <c r="A263" i="6"/>
  <c r="Y262" i="6"/>
  <c r="X262" i="6"/>
  <c r="W262" i="6"/>
  <c r="V262" i="6"/>
  <c r="U262" i="6"/>
  <c r="T262" i="6"/>
  <c r="S262" i="6"/>
  <c r="R262" i="6"/>
  <c r="Q262" i="6"/>
  <c r="P262" i="6"/>
  <c r="O262" i="6"/>
  <c r="N262" i="6"/>
  <c r="M262" i="6"/>
  <c r="J262" i="6"/>
  <c r="I262" i="6"/>
  <c r="H262" i="6"/>
  <c r="G262" i="6"/>
  <c r="F262" i="6"/>
  <c r="E262" i="6"/>
  <c r="D262" i="6"/>
  <c r="C262" i="6"/>
  <c r="B262" i="6"/>
  <c r="A262" i="6"/>
  <c r="Y261" i="6"/>
  <c r="X261" i="6"/>
  <c r="W261" i="6"/>
  <c r="V261" i="6"/>
  <c r="U261" i="6"/>
  <c r="T261" i="6"/>
  <c r="S261" i="6"/>
  <c r="R261" i="6"/>
  <c r="Q261" i="6"/>
  <c r="P261" i="6"/>
  <c r="O261" i="6"/>
  <c r="N261" i="6"/>
  <c r="M261" i="6"/>
  <c r="K261" i="6"/>
  <c r="J261" i="6"/>
  <c r="I261" i="6"/>
  <c r="H261" i="6"/>
  <c r="G261" i="6"/>
  <c r="F261" i="6"/>
  <c r="E261" i="6"/>
  <c r="D261" i="6"/>
  <c r="C261" i="6"/>
  <c r="B261" i="6"/>
  <c r="A261" i="6"/>
  <c r="Y260" i="6"/>
  <c r="X260" i="6"/>
  <c r="W260" i="6"/>
  <c r="V260" i="6"/>
  <c r="U260" i="6"/>
  <c r="T260" i="6"/>
  <c r="S260" i="6"/>
  <c r="R260" i="6"/>
  <c r="Q260" i="6"/>
  <c r="P260" i="6"/>
  <c r="O260" i="6"/>
  <c r="N260" i="6"/>
  <c r="M260" i="6"/>
  <c r="J260" i="6"/>
  <c r="I260" i="6"/>
  <c r="H260" i="6"/>
  <c r="G260" i="6"/>
  <c r="F260" i="6"/>
  <c r="E260" i="6"/>
  <c r="D260" i="6"/>
  <c r="C260" i="6"/>
  <c r="B260" i="6"/>
  <c r="A260" i="6"/>
  <c r="Y259" i="6"/>
  <c r="X259" i="6"/>
  <c r="W259" i="6"/>
  <c r="V259" i="6"/>
  <c r="U259" i="6"/>
  <c r="T259" i="6"/>
  <c r="S259" i="6"/>
  <c r="R259" i="6"/>
  <c r="Q259" i="6"/>
  <c r="P259" i="6"/>
  <c r="O259" i="6"/>
  <c r="N259" i="6"/>
  <c r="M259" i="6"/>
  <c r="J259" i="6"/>
  <c r="I259" i="6"/>
  <c r="H259" i="6"/>
  <c r="G259" i="6"/>
  <c r="F259" i="6"/>
  <c r="E259" i="6"/>
  <c r="D259" i="6"/>
  <c r="C259" i="6"/>
  <c r="B259" i="6"/>
  <c r="A259" i="6"/>
  <c r="Y258" i="6"/>
  <c r="X258" i="6"/>
  <c r="W258" i="6"/>
  <c r="V258" i="6"/>
  <c r="U258" i="6"/>
  <c r="T258" i="6"/>
  <c r="S258" i="6"/>
  <c r="R258" i="6"/>
  <c r="Q258" i="6"/>
  <c r="P258" i="6"/>
  <c r="O258" i="6"/>
  <c r="N258" i="6"/>
  <c r="M258" i="6"/>
  <c r="L258" i="6"/>
  <c r="J258" i="6"/>
  <c r="I258" i="6"/>
  <c r="H258" i="6"/>
  <c r="G258" i="6"/>
  <c r="F258" i="6"/>
  <c r="E258" i="6"/>
  <c r="D258" i="6"/>
  <c r="C258" i="6"/>
  <c r="B258" i="6"/>
  <c r="A258" i="6"/>
  <c r="Y257" i="6"/>
  <c r="X257" i="6"/>
  <c r="W257" i="6"/>
  <c r="V257" i="6"/>
  <c r="U257" i="6"/>
  <c r="T257" i="6"/>
  <c r="S257" i="6"/>
  <c r="R257" i="6"/>
  <c r="Q257" i="6"/>
  <c r="P257" i="6"/>
  <c r="O257" i="6"/>
  <c r="N257" i="6"/>
  <c r="M257" i="6"/>
  <c r="L257" i="6"/>
  <c r="J257" i="6"/>
  <c r="I257" i="6"/>
  <c r="H257" i="6"/>
  <c r="G257" i="6"/>
  <c r="F257" i="6"/>
  <c r="E257" i="6"/>
  <c r="D257" i="6"/>
  <c r="C257" i="6"/>
  <c r="B257" i="6"/>
  <c r="A257" i="6"/>
  <c r="Y256" i="6"/>
  <c r="X256" i="6"/>
  <c r="W256" i="6"/>
  <c r="V256" i="6"/>
  <c r="U256" i="6"/>
  <c r="T256" i="6"/>
  <c r="S256" i="6"/>
  <c r="R256" i="6"/>
  <c r="Q256" i="6"/>
  <c r="P256" i="6"/>
  <c r="O256" i="6"/>
  <c r="N256" i="6"/>
  <c r="M256" i="6"/>
  <c r="L256" i="6"/>
  <c r="J256" i="6"/>
  <c r="I256" i="6"/>
  <c r="H256" i="6"/>
  <c r="G256" i="6"/>
  <c r="F256" i="6"/>
  <c r="E256" i="6"/>
  <c r="D256" i="6"/>
  <c r="C256" i="6"/>
  <c r="B256" i="6"/>
  <c r="A256" i="6"/>
  <c r="Y255" i="6"/>
  <c r="X255" i="6"/>
  <c r="W255" i="6"/>
  <c r="V255" i="6"/>
  <c r="U255" i="6"/>
  <c r="T255" i="6"/>
  <c r="S255" i="6"/>
  <c r="R255" i="6"/>
  <c r="Q255" i="6"/>
  <c r="P255" i="6"/>
  <c r="O255" i="6"/>
  <c r="N255" i="6"/>
  <c r="M255" i="6"/>
  <c r="J255" i="6"/>
  <c r="I255" i="6"/>
  <c r="H255" i="6"/>
  <c r="G255" i="6"/>
  <c r="F255" i="6"/>
  <c r="E255" i="6"/>
  <c r="D255" i="6"/>
  <c r="C255" i="6"/>
  <c r="B255" i="6"/>
  <c r="A255" i="6"/>
  <c r="Y254" i="6"/>
  <c r="X254" i="6"/>
  <c r="W254" i="6"/>
  <c r="V254" i="6"/>
  <c r="U254" i="6"/>
  <c r="T254" i="6"/>
  <c r="S254" i="6"/>
  <c r="R254" i="6"/>
  <c r="P254" i="6"/>
  <c r="O254" i="6"/>
  <c r="N254" i="6"/>
  <c r="M254" i="6"/>
  <c r="K254" i="6"/>
  <c r="J254" i="6"/>
  <c r="I254" i="6"/>
  <c r="H254" i="6"/>
  <c r="G254" i="6"/>
  <c r="F254" i="6"/>
  <c r="E254" i="6"/>
  <c r="D254" i="6"/>
  <c r="C254" i="6"/>
  <c r="B254" i="6"/>
  <c r="A254" i="6"/>
  <c r="Y253" i="6"/>
  <c r="X253" i="6"/>
  <c r="W253" i="6"/>
  <c r="V253" i="6"/>
  <c r="U253" i="6"/>
  <c r="T253" i="6"/>
  <c r="S253" i="6"/>
  <c r="R253" i="6"/>
  <c r="Q253" i="6"/>
  <c r="P253" i="6"/>
  <c r="O253" i="6"/>
  <c r="N253" i="6"/>
  <c r="M253" i="6"/>
  <c r="K253" i="6"/>
  <c r="J253" i="6"/>
  <c r="I253" i="6"/>
  <c r="H253" i="6"/>
  <c r="G253" i="6"/>
  <c r="F253" i="6"/>
  <c r="E253" i="6"/>
  <c r="D253" i="6"/>
  <c r="C253" i="6"/>
  <c r="B253" i="6"/>
  <c r="A253" i="6"/>
  <c r="Y252" i="6"/>
  <c r="X252" i="6"/>
  <c r="W252" i="6"/>
  <c r="V252" i="6"/>
  <c r="U252" i="6"/>
  <c r="T252" i="6"/>
  <c r="S252" i="6"/>
  <c r="R252" i="6"/>
  <c r="Q252" i="6"/>
  <c r="P252" i="6"/>
  <c r="O252" i="6"/>
  <c r="N252" i="6"/>
  <c r="M252" i="6"/>
  <c r="L252" i="6"/>
  <c r="J252" i="6"/>
  <c r="I252" i="6"/>
  <c r="H252" i="6"/>
  <c r="G252" i="6"/>
  <c r="F252" i="6"/>
  <c r="E252" i="6"/>
  <c r="D252" i="6"/>
  <c r="C252" i="6"/>
  <c r="B252" i="6"/>
  <c r="A252" i="6"/>
  <c r="Y251" i="6"/>
  <c r="X251" i="6"/>
  <c r="W251" i="6"/>
  <c r="V251" i="6"/>
  <c r="U251" i="6"/>
  <c r="T251" i="6"/>
  <c r="S251" i="6"/>
  <c r="R251" i="6"/>
  <c r="Q251" i="6"/>
  <c r="P251" i="6"/>
  <c r="O251" i="6"/>
  <c r="N251" i="6"/>
  <c r="M251" i="6"/>
  <c r="J251" i="6"/>
  <c r="I251" i="6"/>
  <c r="H251" i="6"/>
  <c r="G251" i="6"/>
  <c r="F251" i="6"/>
  <c r="E251" i="6"/>
  <c r="D251" i="6"/>
  <c r="C251" i="6"/>
  <c r="B251" i="6"/>
  <c r="A251" i="6"/>
  <c r="Y250" i="6"/>
  <c r="X250" i="6"/>
  <c r="W250" i="6"/>
  <c r="V250" i="6"/>
  <c r="U250" i="6"/>
  <c r="T250" i="6"/>
  <c r="S250" i="6"/>
  <c r="R250" i="6"/>
  <c r="P250" i="6"/>
  <c r="O250" i="6"/>
  <c r="N250" i="6"/>
  <c r="M250" i="6"/>
  <c r="L250" i="6"/>
  <c r="J250" i="6"/>
  <c r="I250" i="6"/>
  <c r="H250" i="6"/>
  <c r="G250" i="6"/>
  <c r="F250" i="6"/>
  <c r="E250" i="6"/>
  <c r="D250" i="6"/>
  <c r="C250" i="6"/>
  <c r="B250" i="6"/>
  <c r="A250" i="6"/>
  <c r="Y249" i="6"/>
  <c r="X249" i="6"/>
  <c r="W249" i="6"/>
  <c r="V249" i="6"/>
  <c r="U249" i="6"/>
  <c r="T249" i="6"/>
  <c r="S249" i="6"/>
  <c r="R249" i="6"/>
  <c r="Q249" i="6"/>
  <c r="P249" i="6"/>
  <c r="O249" i="6"/>
  <c r="N249" i="6"/>
  <c r="M249" i="6"/>
  <c r="L249" i="6"/>
  <c r="K249" i="6"/>
  <c r="J249" i="6"/>
  <c r="I249" i="6"/>
  <c r="H249" i="6"/>
  <c r="G249" i="6"/>
  <c r="F249" i="6"/>
  <c r="E249" i="6"/>
  <c r="D249" i="6"/>
  <c r="C249" i="6"/>
  <c r="B249" i="6"/>
  <c r="A249" i="6"/>
  <c r="Y248" i="6"/>
  <c r="X248" i="6"/>
  <c r="W248" i="6"/>
  <c r="V248" i="6"/>
  <c r="U248" i="6"/>
  <c r="T248" i="6"/>
  <c r="S248" i="6"/>
  <c r="R248" i="6"/>
  <c r="P248" i="6"/>
  <c r="O248" i="6"/>
  <c r="N248" i="6"/>
  <c r="M248" i="6"/>
  <c r="L248" i="6"/>
  <c r="K248" i="6"/>
  <c r="J248" i="6"/>
  <c r="I248" i="6"/>
  <c r="H248" i="6"/>
  <c r="G248" i="6"/>
  <c r="F248" i="6"/>
  <c r="E248" i="6"/>
  <c r="D248" i="6"/>
  <c r="C248" i="6"/>
  <c r="B248" i="6"/>
  <c r="A248" i="6"/>
  <c r="Y247" i="6"/>
  <c r="X247" i="6"/>
  <c r="W247" i="6"/>
  <c r="V247" i="6"/>
  <c r="U247" i="6"/>
  <c r="T247" i="6"/>
  <c r="S247" i="6"/>
  <c r="R247" i="6"/>
  <c r="Q247" i="6"/>
  <c r="P247" i="6"/>
  <c r="O247" i="6"/>
  <c r="N247" i="6"/>
  <c r="M247" i="6"/>
  <c r="L247" i="6"/>
  <c r="K247" i="6"/>
  <c r="J247" i="6"/>
  <c r="I247" i="6"/>
  <c r="H247" i="6"/>
  <c r="G247" i="6"/>
  <c r="F247" i="6"/>
  <c r="E247" i="6"/>
  <c r="D247" i="6"/>
  <c r="C247" i="6"/>
  <c r="B247" i="6"/>
  <c r="A247" i="6"/>
  <c r="Y246" i="6"/>
  <c r="X246" i="6"/>
  <c r="W246" i="6"/>
  <c r="V246" i="6"/>
  <c r="U246" i="6"/>
  <c r="T246" i="6"/>
  <c r="S246" i="6"/>
  <c r="R246" i="6"/>
  <c r="Q246" i="6"/>
  <c r="P246" i="6"/>
  <c r="O246" i="6"/>
  <c r="N246" i="6"/>
  <c r="M246" i="6"/>
  <c r="L246" i="6"/>
  <c r="K246" i="6"/>
  <c r="J246" i="6"/>
  <c r="I246" i="6"/>
  <c r="H246" i="6"/>
  <c r="G246" i="6"/>
  <c r="F246" i="6"/>
  <c r="E246" i="6"/>
  <c r="D246" i="6"/>
  <c r="C246" i="6"/>
  <c r="B246" i="6"/>
  <c r="A246" i="6"/>
  <c r="Y245" i="6"/>
  <c r="X245" i="6"/>
  <c r="W245" i="6"/>
  <c r="V245" i="6"/>
  <c r="U245" i="6"/>
  <c r="T245" i="6"/>
  <c r="S245" i="6"/>
  <c r="R245" i="6"/>
  <c r="P245" i="6"/>
  <c r="O245" i="6"/>
  <c r="N245" i="6"/>
  <c r="M245" i="6"/>
  <c r="K245" i="6"/>
  <c r="J245" i="6"/>
  <c r="I245" i="6"/>
  <c r="H245" i="6"/>
  <c r="G245" i="6"/>
  <c r="F245" i="6"/>
  <c r="E245" i="6"/>
  <c r="D245" i="6"/>
  <c r="C245" i="6"/>
  <c r="B245" i="6"/>
  <c r="A245" i="6"/>
  <c r="Y244" i="6"/>
  <c r="X244" i="6"/>
  <c r="W244" i="6"/>
  <c r="V244" i="6"/>
  <c r="U244" i="6"/>
  <c r="T244" i="6"/>
  <c r="S244" i="6"/>
  <c r="R244" i="6"/>
  <c r="Q244" i="6"/>
  <c r="P244" i="6"/>
  <c r="O244" i="6"/>
  <c r="N244" i="6"/>
  <c r="M244" i="6"/>
  <c r="J244" i="6"/>
  <c r="I244" i="6"/>
  <c r="H244" i="6"/>
  <c r="G244" i="6"/>
  <c r="F244" i="6"/>
  <c r="E244" i="6"/>
  <c r="D244" i="6"/>
  <c r="C244" i="6"/>
  <c r="B244" i="6"/>
  <c r="A244" i="6"/>
  <c r="Y243" i="6"/>
  <c r="X243" i="6"/>
  <c r="W243" i="6"/>
  <c r="V243" i="6"/>
  <c r="U243" i="6"/>
  <c r="T243" i="6"/>
  <c r="S243" i="6"/>
  <c r="R243" i="6"/>
  <c r="Q243" i="6"/>
  <c r="P243" i="6"/>
  <c r="O243" i="6"/>
  <c r="N243" i="6"/>
  <c r="M243" i="6"/>
  <c r="J243" i="6"/>
  <c r="I243" i="6"/>
  <c r="H243" i="6"/>
  <c r="G243" i="6"/>
  <c r="F243" i="6"/>
  <c r="E243" i="6"/>
  <c r="D243" i="6"/>
  <c r="C243" i="6"/>
  <c r="B243" i="6"/>
  <c r="A243" i="6"/>
  <c r="Y242" i="6"/>
  <c r="X242" i="6"/>
  <c r="W242" i="6"/>
  <c r="V242" i="6"/>
  <c r="U242" i="6"/>
  <c r="T242" i="6"/>
  <c r="S242" i="6"/>
  <c r="R242" i="6"/>
  <c r="P242" i="6"/>
  <c r="O242" i="6"/>
  <c r="N242" i="6"/>
  <c r="M242" i="6"/>
  <c r="J242" i="6"/>
  <c r="I242" i="6"/>
  <c r="H242" i="6"/>
  <c r="G242" i="6"/>
  <c r="F242" i="6"/>
  <c r="E242" i="6"/>
  <c r="D242" i="6"/>
  <c r="C242" i="6"/>
  <c r="B242" i="6"/>
  <c r="A242" i="6"/>
  <c r="Y241" i="6"/>
  <c r="X241" i="6"/>
  <c r="W241" i="6"/>
  <c r="V241" i="6"/>
  <c r="U241" i="6"/>
  <c r="T241" i="6"/>
  <c r="S241" i="6"/>
  <c r="R241" i="6"/>
  <c r="P241" i="6"/>
  <c r="O241" i="6"/>
  <c r="N241" i="6"/>
  <c r="M241" i="6"/>
  <c r="J241" i="6"/>
  <c r="I241" i="6"/>
  <c r="H241" i="6"/>
  <c r="G241" i="6"/>
  <c r="F241" i="6"/>
  <c r="E241" i="6"/>
  <c r="D241" i="6"/>
  <c r="C241" i="6"/>
  <c r="B241" i="6"/>
  <c r="A241" i="6"/>
  <c r="Y240" i="6"/>
  <c r="X240" i="6"/>
  <c r="W240" i="6"/>
  <c r="V240" i="6"/>
  <c r="U240" i="6"/>
  <c r="T240" i="6"/>
  <c r="S240" i="6"/>
  <c r="R240" i="6"/>
  <c r="Q240" i="6"/>
  <c r="P240" i="6"/>
  <c r="O240" i="6"/>
  <c r="N240" i="6"/>
  <c r="M240" i="6"/>
  <c r="J240" i="6"/>
  <c r="I240" i="6"/>
  <c r="H240" i="6"/>
  <c r="G240" i="6"/>
  <c r="F240" i="6"/>
  <c r="E240" i="6"/>
  <c r="D240" i="6"/>
  <c r="C240" i="6"/>
  <c r="B240" i="6"/>
  <c r="A240" i="6"/>
  <c r="Y239" i="6"/>
  <c r="X239" i="6"/>
  <c r="W239" i="6"/>
  <c r="V239" i="6"/>
  <c r="U239" i="6"/>
  <c r="T239" i="6"/>
  <c r="S239" i="6"/>
  <c r="R239" i="6"/>
  <c r="P239" i="6"/>
  <c r="O239" i="6"/>
  <c r="N239" i="6"/>
  <c r="M239" i="6"/>
  <c r="J239" i="6"/>
  <c r="I239" i="6"/>
  <c r="H239" i="6"/>
  <c r="G239" i="6"/>
  <c r="F239" i="6"/>
  <c r="E239" i="6"/>
  <c r="D239" i="6"/>
  <c r="C239" i="6"/>
  <c r="B239" i="6"/>
  <c r="A239" i="6"/>
  <c r="Y238" i="6"/>
  <c r="X238" i="6"/>
  <c r="W238" i="6"/>
  <c r="V238" i="6"/>
  <c r="U238" i="6"/>
  <c r="T238" i="6"/>
  <c r="S238" i="6"/>
  <c r="R238" i="6"/>
  <c r="P238" i="6"/>
  <c r="O238" i="6"/>
  <c r="N238" i="6"/>
  <c r="M238" i="6"/>
  <c r="J238" i="6"/>
  <c r="I238" i="6"/>
  <c r="H238" i="6"/>
  <c r="G238" i="6"/>
  <c r="F238" i="6"/>
  <c r="E238" i="6"/>
  <c r="D238" i="6"/>
  <c r="C238" i="6"/>
  <c r="B238" i="6"/>
  <c r="A238" i="6"/>
  <c r="Y237" i="6"/>
  <c r="X237" i="6"/>
  <c r="W237" i="6"/>
  <c r="V237" i="6"/>
  <c r="U237" i="6"/>
  <c r="T237" i="6"/>
  <c r="S237" i="6"/>
  <c r="R237" i="6"/>
  <c r="P237" i="6"/>
  <c r="O237" i="6"/>
  <c r="N237" i="6"/>
  <c r="M237" i="6"/>
  <c r="J237" i="6"/>
  <c r="I237" i="6"/>
  <c r="H237" i="6"/>
  <c r="G237" i="6"/>
  <c r="F237" i="6"/>
  <c r="E237" i="6"/>
  <c r="D237" i="6"/>
  <c r="C237" i="6"/>
  <c r="B237" i="6"/>
  <c r="A237" i="6"/>
  <c r="Y236" i="6"/>
  <c r="X236" i="6"/>
  <c r="W236" i="6"/>
  <c r="V236" i="6"/>
  <c r="U236" i="6"/>
  <c r="T236" i="6"/>
  <c r="S236" i="6"/>
  <c r="R236" i="6"/>
  <c r="Q236" i="6"/>
  <c r="P236" i="6"/>
  <c r="O236" i="6"/>
  <c r="N236" i="6"/>
  <c r="M236" i="6"/>
  <c r="J236" i="6"/>
  <c r="I236" i="6"/>
  <c r="H236" i="6"/>
  <c r="G236" i="6"/>
  <c r="F236" i="6"/>
  <c r="E236" i="6"/>
  <c r="D236" i="6"/>
  <c r="C236" i="6"/>
  <c r="B236" i="6"/>
  <c r="A236" i="6"/>
  <c r="Y235" i="6"/>
  <c r="X235" i="6"/>
  <c r="W235" i="6"/>
  <c r="V235" i="6"/>
  <c r="U235" i="6"/>
  <c r="T235" i="6"/>
  <c r="S235" i="6"/>
  <c r="R235" i="6"/>
  <c r="P235" i="6"/>
  <c r="O235" i="6"/>
  <c r="N235" i="6"/>
  <c r="M235" i="6"/>
  <c r="L235" i="6"/>
  <c r="J235" i="6"/>
  <c r="I235" i="6"/>
  <c r="H235" i="6"/>
  <c r="G235" i="6"/>
  <c r="F235" i="6"/>
  <c r="E235" i="6"/>
  <c r="D235" i="6"/>
  <c r="C235" i="6"/>
  <c r="B235" i="6"/>
  <c r="A235" i="6"/>
  <c r="Y234" i="6"/>
  <c r="X234" i="6"/>
  <c r="W234" i="6"/>
  <c r="V234" i="6"/>
  <c r="U234" i="6"/>
  <c r="T234" i="6"/>
  <c r="S234" i="6"/>
  <c r="R234" i="6"/>
  <c r="Q234" i="6"/>
  <c r="P234" i="6"/>
  <c r="O234" i="6"/>
  <c r="N234" i="6"/>
  <c r="M234" i="6"/>
  <c r="L234" i="6"/>
  <c r="J234" i="6"/>
  <c r="I234" i="6"/>
  <c r="H234" i="6"/>
  <c r="G234" i="6"/>
  <c r="F234" i="6"/>
  <c r="E234" i="6"/>
  <c r="D234" i="6"/>
  <c r="C234" i="6"/>
  <c r="B234" i="6"/>
  <c r="A234" i="6"/>
  <c r="Y233" i="6"/>
  <c r="X233" i="6"/>
  <c r="W233" i="6"/>
  <c r="V233" i="6"/>
  <c r="U233" i="6"/>
  <c r="T233" i="6"/>
  <c r="S233" i="6"/>
  <c r="R233" i="6"/>
  <c r="Q233" i="6"/>
  <c r="P233" i="6"/>
  <c r="O233" i="6"/>
  <c r="N233" i="6"/>
  <c r="M233" i="6"/>
  <c r="L233" i="6"/>
  <c r="J233" i="6"/>
  <c r="I233" i="6"/>
  <c r="H233" i="6"/>
  <c r="G233" i="6"/>
  <c r="F233" i="6"/>
  <c r="E233" i="6"/>
  <c r="D233" i="6"/>
  <c r="C233" i="6"/>
  <c r="B233" i="6"/>
  <c r="A233" i="6"/>
  <c r="Y232" i="6"/>
  <c r="X232" i="6"/>
  <c r="W232" i="6"/>
  <c r="V232" i="6"/>
  <c r="U232" i="6"/>
  <c r="T232" i="6"/>
  <c r="S232" i="6"/>
  <c r="R232" i="6"/>
  <c r="Q232" i="6"/>
  <c r="P232" i="6"/>
  <c r="O232" i="6"/>
  <c r="N232" i="6"/>
  <c r="M232" i="6"/>
  <c r="J232" i="6"/>
  <c r="I232" i="6"/>
  <c r="H232" i="6"/>
  <c r="G232" i="6"/>
  <c r="F232" i="6"/>
  <c r="E232" i="6"/>
  <c r="D232" i="6"/>
  <c r="C232" i="6"/>
  <c r="B232" i="6"/>
  <c r="A232" i="6"/>
  <c r="Y231" i="6"/>
  <c r="X231" i="6"/>
  <c r="W231" i="6"/>
  <c r="V231" i="6"/>
  <c r="U231" i="6"/>
  <c r="T231" i="6"/>
  <c r="S231" i="6"/>
  <c r="R231" i="6"/>
  <c r="Q231" i="6"/>
  <c r="P231" i="6"/>
  <c r="O231" i="6"/>
  <c r="N231" i="6"/>
  <c r="M231" i="6"/>
  <c r="J231" i="6"/>
  <c r="I231" i="6"/>
  <c r="H231" i="6"/>
  <c r="G231" i="6"/>
  <c r="F231" i="6"/>
  <c r="E231" i="6"/>
  <c r="D231" i="6"/>
  <c r="C231" i="6"/>
  <c r="B231" i="6"/>
  <c r="A231" i="6"/>
  <c r="Y230" i="6"/>
  <c r="X230" i="6"/>
  <c r="W230" i="6"/>
  <c r="V230" i="6"/>
  <c r="U230" i="6"/>
  <c r="T230" i="6"/>
  <c r="S230" i="6"/>
  <c r="R230" i="6"/>
  <c r="P230" i="6"/>
  <c r="O230" i="6"/>
  <c r="N230" i="6"/>
  <c r="M230" i="6"/>
  <c r="J230" i="6"/>
  <c r="I230" i="6"/>
  <c r="H230" i="6"/>
  <c r="G230" i="6"/>
  <c r="F230" i="6"/>
  <c r="E230" i="6"/>
  <c r="D230" i="6"/>
  <c r="C230" i="6"/>
  <c r="B230" i="6"/>
  <c r="A230" i="6"/>
  <c r="Y229" i="6"/>
  <c r="X229" i="6"/>
  <c r="W229" i="6"/>
  <c r="V229" i="6"/>
  <c r="U229" i="6"/>
  <c r="T229" i="6"/>
  <c r="S229" i="6"/>
  <c r="R229" i="6"/>
  <c r="P229" i="6"/>
  <c r="O229" i="6"/>
  <c r="N229" i="6"/>
  <c r="M229" i="6"/>
  <c r="L229" i="6"/>
  <c r="K229" i="6"/>
  <c r="J229" i="6"/>
  <c r="I229" i="6"/>
  <c r="H229" i="6"/>
  <c r="G229" i="6"/>
  <c r="F229" i="6"/>
  <c r="E229" i="6"/>
  <c r="D229" i="6"/>
  <c r="C229" i="6"/>
  <c r="B229" i="6"/>
  <c r="A229" i="6"/>
  <c r="Y228" i="6"/>
  <c r="X228" i="6"/>
  <c r="W228" i="6"/>
  <c r="V228" i="6"/>
  <c r="U228" i="6"/>
  <c r="T228" i="6"/>
  <c r="S228" i="6"/>
  <c r="R228" i="6"/>
  <c r="Q228" i="6"/>
  <c r="P228" i="6"/>
  <c r="O228" i="6"/>
  <c r="N228" i="6"/>
  <c r="M228" i="6"/>
  <c r="K228" i="6"/>
  <c r="J228" i="6"/>
  <c r="I228" i="6"/>
  <c r="H228" i="6"/>
  <c r="G228" i="6"/>
  <c r="F228" i="6"/>
  <c r="E228" i="6"/>
  <c r="D228" i="6"/>
  <c r="C228" i="6"/>
  <c r="B228" i="6"/>
  <c r="A228" i="6"/>
  <c r="Y227" i="6"/>
  <c r="X227" i="6"/>
  <c r="W227" i="6"/>
  <c r="V227" i="6"/>
  <c r="U227" i="6"/>
  <c r="T227" i="6"/>
  <c r="S227" i="6"/>
  <c r="R227" i="6"/>
  <c r="P227" i="6"/>
  <c r="O227" i="6"/>
  <c r="N227" i="6"/>
  <c r="M227" i="6"/>
  <c r="L227" i="6"/>
  <c r="J227" i="6"/>
  <c r="I227" i="6"/>
  <c r="H227" i="6"/>
  <c r="G227" i="6"/>
  <c r="F227" i="6"/>
  <c r="E227" i="6"/>
  <c r="D227" i="6"/>
  <c r="C227" i="6"/>
  <c r="B227" i="6"/>
  <c r="A227" i="6"/>
  <c r="Y226" i="6"/>
  <c r="X226" i="6"/>
  <c r="W226" i="6"/>
  <c r="V226" i="6"/>
  <c r="U226" i="6"/>
  <c r="T226" i="6"/>
  <c r="S226" i="6"/>
  <c r="R226" i="6"/>
  <c r="Q226" i="6"/>
  <c r="P226" i="6"/>
  <c r="O226" i="6"/>
  <c r="N226" i="6"/>
  <c r="M226" i="6"/>
  <c r="L226" i="6"/>
  <c r="K226" i="6"/>
  <c r="J226" i="6"/>
  <c r="I226" i="6"/>
  <c r="H226" i="6"/>
  <c r="G226" i="6"/>
  <c r="F226" i="6"/>
  <c r="E226" i="6"/>
  <c r="D226" i="6"/>
  <c r="C226" i="6"/>
  <c r="B226" i="6"/>
  <c r="A226" i="6"/>
  <c r="Y225" i="6"/>
  <c r="X225" i="6"/>
  <c r="W225" i="6"/>
  <c r="V225" i="6"/>
  <c r="U225" i="6"/>
  <c r="T225" i="6"/>
  <c r="S225" i="6"/>
  <c r="R225" i="6"/>
  <c r="Q225" i="6"/>
  <c r="P225" i="6"/>
  <c r="O225" i="6"/>
  <c r="N225" i="6"/>
  <c r="M225" i="6"/>
  <c r="L225" i="6"/>
  <c r="J225" i="6"/>
  <c r="I225" i="6"/>
  <c r="H225" i="6"/>
  <c r="G225" i="6"/>
  <c r="F225" i="6"/>
  <c r="E225" i="6"/>
  <c r="D225" i="6"/>
  <c r="C225" i="6"/>
  <c r="B225" i="6"/>
  <c r="A225" i="6"/>
  <c r="Y224" i="6"/>
  <c r="X224" i="6"/>
  <c r="W224" i="6"/>
  <c r="V224" i="6"/>
  <c r="U224" i="6"/>
  <c r="T224" i="6"/>
  <c r="S224" i="6"/>
  <c r="R224" i="6"/>
  <c r="Q224" i="6"/>
  <c r="P224" i="6"/>
  <c r="O224" i="6"/>
  <c r="N224" i="6"/>
  <c r="M224" i="6"/>
  <c r="L224" i="6"/>
  <c r="J224" i="6"/>
  <c r="I224" i="6"/>
  <c r="H224" i="6"/>
  <c r="G224" i="6"/>
  <c r="F224" i="6"/>
  <c r="E224" i="6"/>
  <c r="D224" i="6"/>
  <c r="C224" i="6"/>
  <c r="B224" i="6"/>
  <c r="A224" i="6"/>
  <c r="Y223" i="6"/>
  <c r="X223" i="6"/>
  <c r="W223" i="6"/>
  <c r="V223" i="6"/>
  <c r="U223" i="6"/>
  <c r="T223" i="6"/>
  <c r="S223" i="6"/>
  <c r="R223" i="6"/>
  <c r="P223" i="6"/>
  <c r="O223" i="6"/>
  <c r="N223" i="6"/>
  <c r="M223" i="6"/>
  <c r="L223" i="6"/>
  <c r="J223" i="6"/>
  <c r="I223" i="6"/>
  <c r="H223" i="6"/>
  <c r="G223" i="6"/>
  <c r="F223" i="6"/>
  <c r="E223" i="6"/>
  <c r="D223" i="6"/>
  <c r="C223" i="6"/>
  <c r="B223" i="6"/>
  <c r="A223" i="6"/>
  <c r="Y222" i="6"/>
  <c r="X222" i="6"/>
  <c r="W222" i="6"/>
  <c r="V222" i="6"/>
  <c r="U222" i="6"/>
  <c r="T222" i="6"/>
  <c r="S222" i="6"/>
  <c r="R222" i="6"/>
  <c r="Q222" i="6"/>
  <c r="P222" i="6"/>
  <c r="O222" i="6"/>
  <c r="N222" i="6"/>
  <c r="M222" i="6"/>
  <c r="L222" i="6"/>
  <c r="J222" i="6"/>
  <c r="I222" i="6"/>
  <c r="H222" i="6"/>
  <c r="G222" i="6"/>
  <c r="F222" i="6"/>
  <c r="E222" i="6"/>
  <c r="D222" i="6"/>
  <c r="C222" i="6"/>
  <c r="B222" i="6"/>
  <c r="A222" i="6"/>
  <c r="Y221" i="6"/>
  <c r="X221" i="6"/>
  <c r="W221" i="6"/>
  <c r="V221" i="6"/>
  <c r="U221" i="6"/>
  <c r="T221" i="6"/>
  <c r="S221" i="6"/>
  <c r="R221" i="6"/>
  <c r="Q221" i="6"/>
  <c r="P221" i="6"/>
  <c r="O221" i="6"/>
  <c r="N221" i="6"/>
  <c r="M221" i="6"/>
  <c r="L221" i="6"/>
  <c r="J221" i="6"/>
  <c r="I221" i="6"/>
  <c r="H221" i="6"/>
  <c r="G221" i="6"/>
  <c r="F221" i="6"/>
  <c r="E221" i="6"/>
  <c r="D221" i="6"/>
  <c r="C221" i="6"/>
  <c r="B221" i="6"/>
  <c r="A221" i="6"/>
  <c r="Y220" i="6"/>
  <c r="X220" i="6"/>
  <c r="W220" i="6"/>
  <c r="V220" i="6"/>
  <c r="U220" i="6"/>
  <c r="T220" i="6"/>
  <c r="S220" i="6"/>
  <c r="R220" i="6"/>
  <c r="Q220" i="6"/>
  <c r="P220" i="6"/>
  <c r="O220" i="6"/>
  <c r="N220" i="6"/>
  <c r="M220" i="6"/>
  <c r="L220" i="6"/>
  <c r="J220" i="6"/>
  <c r="I220" i="6"/>
  <c r="H220" i="6"/>
  <c r="G220" i="6"/>
  <c r="F220" i="6"/>
  <c r="E220" i="6"/>
  <c r="D220" i="6"/>
  <c r="C220" i="6"/>
  <c r="B220" i="6"/>
  <c r="A220" i="6"/>
  <c r="Y219" i="6"/>
  <c r="X219" i="6"/>
  <c r="W219" i="6"/>
  <c r="V219" i="6"/>
  <c r="U219" i="6"/>
  <c r="T219" i="6"/>
  <c r="S219" i="6"/>
  <c r="R219" i="6"/>
  <c r="Q219" i="6"/>
  <c r="P219" i="6"/>
  <c r="O219" i="6"/>
  <c r="N219" i="6"/>
  <c r="M219" i="6"/>
  <c r="L219" i="6"/>
  <c r="J219" i="6"/>
  <c r="I219" i="6"/>
  <c r="H219" i="6"/>
  <c r="G219" i="6"/>
  <c r="F219" i="6"/>
  <c r="E219" i="6"/>
  <c r="D219" i="6"/>
  <c r="C219" i="6"/>
  <c r="B219" i="6"/>
  <c r="A219" i="6"/>
  <c r="Y218" i="6"/>
  <c r="X218" i="6"/>
  <c r="W218" i="6"/>
  <c r="V218" i="6"/>
  <c r="U218" i="6"/>
  <c r="T218" i="6"/>
  <c r="S218" i="6"/>
  <c r="R218" i="6"/>
  <c r="Q218" i="6"/>
  <c r="P218" i="6"/>
  <c r="O218" i="6"/>
  <c r="N218" i="6"/>
  <c r="M218" i="6"/>
  <c r="J218" i="6"/>
  <c r="I218" i="6"/>
  <c r="H218" i="6"/>
  <c r="G218" i="6"/>
  <c r="F218" i="6"/>
  <c r="E218" i="6"/>
  <c r="D218" i="6"/>
  <c r="C218" i="6"/>
  <c r="B218" i="6"/>
  <c r="A218" i="6"/>
  <c r="Y217" i="6"/>
  <c r="X217" i="6"/>
  <c r="W217" i="6"/>
  <c r="V217" i="6"/>
  <c r="U217" i="6"/>
  <c r="T217" i="6"/>
  <c r="S217" i="6"/>
  <c r="R217" i="6"/>
  <c r="Q217" i="6"/>
  <c r="P217" i="6"/>
  <c r="O217" i="6"/>
  <c r="N217" i="6"/>
  <c r="M217" i="6"/>
  <c r="L217" i="6"/>
  <c r="J217" i="6"/>
  <c r="I217" i="6"/>
  <c r="H217" i="6"/>
  <c r="G217" i="6"/>
  <c r="F217" i="6"/>
  <c r="E217" i="6"/>
  <c r="D217" i="6"/>
  <c r="C217" i="6"/>
  <c r="B217" i="6"/>
  <c r="A217" i="6"/>
  <c r="Y216" i="6"/>
  <c r="X216" i="6"/>
  <c r="W216" i="6"/>
  <c r="V216" i="6"/>
  <c r="U216" i="6"/>
  <c r="T216" i="6"/>
  <c r="S216" i="6"/>
  <c r="R216" i="6"/>
  <c r="Q216" i="6"/>
  <c r="P216" i="6"/>
  <c r="O216" i="6"/>
  <c r="N216" i="6"/>
  <c r="M216" i="6"/>
  <c r="L216" i="6"/>
  <c r="J216" i="6"/>
  <c r="I216" i="6"/>
  <c r="H216" i="6"/>
  <c r="G216" i="6"/>
  <c r="F216" i="6"/>
  <c r="E216" i="6"/>
  <c r="D216" i="6"/>
  <c r="C216" i="6"/>
  <c r="B216" i="6"/>
  <c r="A216" i="6"/>
  <c r="Y215" i="6"/>
  <c r="X215" i="6"/>
  <c r="W215" i="6"/>
  <c r="V215" i="6"/>
  <c r="U215" i="6"/>
  <c r="T215" i="6"/>
  <c r="S215" i="6"/>
  <c r="R215" i="6"/>
  <c r="Q215" i="6"/>
  <c r="P215" i="6"/>
  <c r="O215" i="6"/>
  <c r="N215" i="6"/>
  <c r="M215" i="6"/>
  <c r="J215" i="6"/>
  <c r="I215" i="6"/>
  <c r="H215" i="6"/>
  <c r="G215" i="6"/>
  <c r="F215" i="6"/>
  <c r="E215" i="6"/>
  <c r="D215" i="6"/>
  <c r="C215" i="6"/>
  <c r="B215" i="6"/>
  <c r="A215" i="6"/>
  <c r="Y214" i="6"/>
  <c r="X214" i="6"/>
  <c r="W214" i="6"/>
  <c r="V214" i="6"/>
  <c r="U214" i="6"/>
  <c r="T214" i="6"/>
  <c r="S214" i="6"/>
  <c r="R214" i="6"/>
  <c r="Q214" i="6"/>
  <c r="P214" i="6"/>
  <c r="O214" i="6"/>
  <c r="N214" i="6"/>
  <c r="M214" i="6"/>
  <c r="L214" i="6"/>
  <c r="J214" i="6"/>
  <c r="I214" i="6"/>
  <c r="H214" i="6"/>
  <c r="G214" i="6"/>
  <c r="F214" i="6"/>
  <c r="E214" i="6"/>
  <c r="D214" i="6"/>
  <c r="C214" i="6"/>
  <c r="B214" i="6"/>
  <c r="A214" i="6"/>
  <c r="Y213" i="6"/>
  <c r="X213" i="6"/>
  <c r="W213" i="6"/>
  <c r="V213" i="6"/>
  <c r="U213" i="6"/>
  <c r="T213" i="6"/>
  <c r="S213" i="6"/>
  <c r="R213" i="6"/>
  <c r="Q213" i="6"/>
  <c r="P213" i="6"/>
  <c r="O213" i="6"/>
  <c r="N213" i="6"/>
  <c r="M213" i="6"/>
  <c r="J213" i="6"/>
  <c r="I213" i="6"/>
  <c r="H213" i="6"/>
  <c r="G213" i="6"/>
  <c r="F213" i="6"/>
  <c r="E213" i="6"/>
  <c r="D213" i="6"/>
  <c r="C213" i="6"/>
  <c r="B213" i="6"/>
  <c r="A213" i="6"/>
  <c r="Y212" i="6"/>
  <c r="X212" i="6"/>
  <c r="W212" i="6"/>
  <c r="V212" i="6"/>
  <c r="U212" i="6"/>
  <c r="T212" i="6"/>
  <c r="S212" i="6"/>
  <c r="R212" i="6"/>
  <c r="P212" i="6"/>
  <c r="O212" i="6"/>
  <c r="N212" i="6"/>
  <c r="M212" i="6"/>
  <c r="J212" i="6"/>
  <c r="I212" i="6"/>
  <c r="H212" i="6"/>
  <c r="G212" i="6"/>
  <c r="F212" i="6"/>
  <c r="E212" i="6"/>
  <c r="D212" i="6"/>
  <c r="C212" i="6"/>
  <c r="B212" i="6"/>
  <c r="A212" i="6"/>
  <c r="Y211" i="6"/>
  <c r="X211" i="6"/>
  <c r="W211" i="6"/>
  <c r="V211" i="6"/>
  <c r="U211" i="6"/>
  <c r="T211" i="6"/>
  <c r="S211" i="6"/>
  <c r="R211" i="6"/>
  <c r="Q211" i="6"/>
  <c r="P211" i="6"/>
  <c r="O211" i="6"/>
  <c r="N211" i="6"/>
  <c r="M211" i="6"/>
  <c r="J211" i="6"/>
  <c r="I211" i="6"/>
  <c r="H211" i="6"/>
  <c r="G211" i="6"/>
  <c r="F211" i="6"/>
  <c r="E211" i="6"/>
  <c r="D211" i="6"/>
  <c r="C211" i="6"/>
  <c r="B211" i="6"/>
  <c r="A211" i="6"/>
  <c r="Y210" i="6"/>
  <c r="X210" i="6"/>
  <c r="W210" i="6"/>
  <c r="V210" i="6"/>
  <c r="U210" i="6"/>
  <c r="T210" i="6"/>
  <c r="S210" i="6"/>
  <c r="R210" i="6"/>
  <c r="Q210" i="6"/>
  <c r="P210" i="6"/>
  <c r="O210" i="6"/>
  <c r="N210" i="6"/>
  <c r="M210" i="6"/>
  <c r="K210" i="6"/>
  <c r="J210" i="6"/>
  <c r="I210" i="6"/>
  <c r="H210" i="6"/>
  <c r="G210" i="6"/>
  <c r="F210" i="6"/>
  <c r="E210" i="6"/>
  <c r="D210" i="6"/>
  <c r="C210" i="6"/>
  <c r="B210" i="6"/>
  <c r="A210" i="6"/>
  <c r="Y209" i="6"/>
  <c r="X209" i="6"/>
  <c r="W209" i="6"/>
  <c r="V209" i="6"/>
  <c r="U209" i="6"/>
  <c r="T209" i="6"/>
  <c r="S209" i="6"/>
  <c r="R209" i="6"/>
  <c r="P209" i="6"/>
  <c r="O209" i="6"/>
  <c r="N209" i="6"/>
  <c r="M209" i="6"/>
  <c r="J209" i="6"/>
  <c r="I209" i="6"/>
  <c r="H209" i="6"/>
  <c r="G209" i="6"/>
  <c r="F209" i="6"/>
  <c r="E209" i="6"/>
  <c r="D209" i="6"/>
  <c r="C209" i="6"/>
  <c r="B209" i="6"/>
  <c r="A209" i="6"/>
  <c r="Y208" i="6"/>
  <c r="X208" i="6"/>
  <c r="W208" i="6"/>
  <c r="V208" i="6"/>
  <c r="U208" i="6"/>
  <c r="T208" i="6"/>
  <c r="S208" i="6"/>
  <c r="R208" i="6"/>
  <c r="Q208" i="6"/>
  <c r="P208" i="6"/>
  <c r="O208" i="6"/>
  <c r="N208" i="6"/>
  <c r="M208" i="6"/>
  <c r="J208" i="6"/>
  <c r="I208" i="6"/>
  <c r="H208" i="6"/>
  <c r="G208" i="6"/>
  <c r="F208" i="6"/>
  <c r="E208" i="6"/>
  <c r="D208" i="6"/>
  <c r="C208" i="6"/>
  <c r="B208" i="6"/>
  <c r="A208" i="6"/>
  <c r="Y207" i="6"/>
  <c r="X207" i="6"/>
  <c r="W207" i="6"/>
  <c r="V207" i="6"/>
  <c r="U207" i="6"/>
  <c r="T207" i="6"/>
  <c r="S207" i="6"/>
  <c r="R207" i="6"/>
  <c r="Q207" i="6"/>
  <c r="P207" i="6"/>
  <c r="O207" i="6"/>
  <c r="N207" i="6"/>
  <c r="M207" i="6"/>
  <c r="K207" i="6"/>
  <c r="J207" i="6"/>
  <c r="I207" i="6"/>
  <c r="H207" i="6"/>
  <c r="G207" i="6"/>
  <c r="F207" i="6"/>
  <c r="E207" i="6"/>
  <c r="D207" i="6"/>
  <c r="C207" i="6"/>
  <c r="B207" i="6"/>
  <c r="A207" i="6"/>
  <c r="Y206" i="6"/>
  <c r="X206" i="6"/>
  <c r="W206" i="6"/>
  <c r="V206" i="6"/>
  <c r="U206" i="6"/>
  <c r="T206" i="6"/>
  <c r="S206" i="6"/>
  <c r="R206" i="6"/>
  <c r="Q206" i="6"/>
  <c r="P206" i="6"/>
  <c r="O206" i="6"/>
  <c r="N206" i="6"/>
  <c r="M206" i="6"/>
  <c r="L206" i="6"/>
  <c r="J206" i="6"/>
  <c r="I206" i="6"/>
  <c r="H206" i="6"/>
  <c r="G206" i="6"/>
  <c r="F206" i="6"/>
  <c r="E206" i="6"/>
  <c r="D206" i="6"/>
  <c r="C206" i="6"/>
  <c r="B206" i="6"/>
  <c r="A206" i="6"/>
  <c r="Y205" i="6"/>
  <c r="X205" i="6"/>
  <c r="W205" i="6"/>
  <c r="V205" i="6"/>
  <c r="U205" i="6"/>
  <c r="T205" i="6"/>
  <c r="S205" i="6"/>
  <c r="R205" i="6"/>
  <c r="P205" i="6"/>
  <c r="O205" i="6"/>
  <c r="N205" i="6"/>
  <c r="M205" i="6"/>
  <c r="J205" i="6"/>
  <c r="I205" i="6"/>
  <c r="H205" i="6"/>
  <c r="G205" i="6"/>
  <c r="F205" i="6"/>
  <c r="E205" i="6"/>
  <c r="D205" i="6"/>
  <c r="C205" i="6"/>
  <c r="B205" i="6"/>
  <c r="A205" i="6"/>
  <c r="Y204" i="6"/>
  <c r="X204" i="6"/>
  <c r="W204" i="6"/>
  <c r="V204" i="6"/>
  <c r="U204" i="6"/>
  <c r="T204" i="6"/>
  <c r="S204" i="6"/>
  <c r="R204" i="6"/>
  <c r="Q204" i="6"/>
  <c r="P204" i="6"/>
  <c r="O204" i="6"/>
  <c r="N204" i="6"/>
  <c r="M204" i="6"/>
  <c r="J204" i="6"/>
  <c r="I204" i="6"/>
  <c r="H204" i="6"/>
  <c r="G204" i="6"/>
  <c r="F204" i="6"/>
  <c r="E204" i="6"/>
  <c r="D204" i="6"/>
  <c r="C204" i="6"/>
  <c r="B204" i="6"/>
  <c r="A204" i="6"/>
  <c r="Y203" i="6"/>
  <c r="X203" i="6"/>
  <c r="W203" i="6"/>
  <c r="V203" i="6"/>
  <c r="U203" i="6"/>
  <c r="T203" i="6"/>
  <c r="S203" i="6"/>
  <c r="R203" i="6"/>
  <c r="Q203" i="6"/>
  <c r="P203" i="6"/>
  <c r="O203" i="6"/>
  <c r="N203" i="6"/>
  <c r="M203" i="6"/>
  <c r="J203" i="6"/>
  <c r="I203" i="6"/>
  <c r="H203" i="6"/>
  <c r="G203" i="6"/>
  <c r="F203" i="6"/>
  <c r="E203" i="6"/>
  <c r="D203" i="6"/>
  <c r="C203" i="6"/>
  <c r="B203" i="6"/>
  <c r="A203" i="6"/>
  <c r="Y202" i="6"/>
  <c r="X202" i="6"/>
  <c r="W202" i="6"/>
  <c r="V202" i="6"/>
  <c r="U202" i="6"/>
  <c r="T202" i="6"/>
  <c r="S202" i="6"/>
  <c r="R202" i="6"/>
  <c r="Q202" i="6"/>
  <c r="P202" i="6"/>
  <c r="O202" i="6"/>
  <c r="N202" i="6"/>
  <c r="M202" i="6"/>
  <c r="J202" i="6"/>
  <c r="I202" i="6"/>
  <c r="H202" i="6"/>
  <c r="G202" i="6"/>
  <c r="F202" i="6"/>
  <c r="E202" i="6"/>
  <c r="D202" i="6"/>
  <c r="C202" i="6"/>
  <c r="B202" i="6"/>
  <c r="A202" i="6"/>
  <c r="Y201" i="6"/>
  <c r="X201" i="6"/>
  <c r="W201" i="6"/>
  <c r="V201" i="6"/>
  <c r="U201" i="6"/>
  <c r="T201" i="6"/>
  <c r="S201" i="6"/>
  <c r="R201" i="6"/>
  <c r="P201" i="6"/>
  <c r="O201" i="6"/>
  <c r="N201" i="6"/>
  <c r="M201" i="6"/>
  <c r="J201" i="6"/>
  <c r="I201" i="6"/>
  <c r="H201" i="6"/>
  <c r="G201" i="6"/>
  <c r="F201" i="6"/>
  <c r="E201" i="6"/>
  <c r="D201" i="6"/>
  <c r="C201" i="6"/>
  <c r="B201" i="6"/>
  <c r="A201" i="6"/>
  <c r="Y200" i="6"/>
  <c r="X200" i="6"/>
  <c r="W200" i="6"/>
  <c r="V200" i="6"/>
  <c r="U200" i="6"/>
  <c r="T200" i="6"/>
  <c r="S200" i="6"/>
  <c r="R200" i="6"/>
  <c r="P200" i="6"/>
  <c r="O200" i="6"/>
  <c r="N200" i="6"/>
  <c r="M200" i="6"/>
  <c r="J200" i="6"/>
  <c r="I200" i="6"/>
  <c r="H200" i="6"/>
  <c r="G200" i="6"/>
  <c r="F200" i="6"/>
  <c r="E200" i="6"/>
  <c r="D200" i="6"/>
  <c r="C200" i="6"/>
  <c r="B200" i="6"/>
  <c r="A200" i="6"/>
  <c r="Y199" i="6"/>
  <c r="X199" i="6"/>
  <c r="W199" i="6"/>
  <c r="V199" i="6"/>
  <c r="U199" i="6"/>
  <c r="T199" i="6"/>
  <c r="S199" i="6"/>
  <c r="R199" i="6"/>
  <c r="P199" i="6"/>
  <c r="O199" i="6"/>
  <c r="N199" i="6"/>
  <c r="M199" i="6"/>
  <c r="J199" i="6"/>
  <c r="I199" i="6"/>
  <c r="H199" i="6"/>
  <c r="G199" i="6"/>
  <c r="F199" i="6"/>
  <c r="E199" i="6"/>
  <c r="D199" i="6"/>
  <c r="C199" i="6"/>
  <c r="B199" i="6"/>
  <c r="A199" i="6"/>
  <c r="Y198" i="6"/>
  <c r="X198" i="6"/>
  <c r="W198" i="6"/>
  <c r="V198" i="6"/>
  <c r="U198" i="6"/>
  <c r="T198" i="6"/>
  <c r="S198" i="6"/>
  <c r="R198" i="6"/>
  <c r="P198" i="6"/>
  <c r="O198" i="6"/>
  <c r="N198" i="6"/>
  <c r="M198" i="6"/>
  <c r="J198" i="6"/>
  <c r="I198" i="6"/>
  <c r="H198" i="6"/>
  <c r="G198" i="6"/>
  <c r="F198" i="6"/>
  <c r="E198" i="6"/>
  <c r="D198" i="6"/>
  <c r="C198" i="6"/>
  <c r="B198" i="6"/>
  <c r="A198" i="6"/>
  <c r="Y197" i="6"/>
  <c r="X197" i="6"/>
  <c r="W197" i="6"/>
  <c r="V197" i="6"/>
  <c r="U197" i="6"/>
  <c r="T197" i="6"/>
  <c r="S197" i="6"/>
  <c r="R197" i="6"/>
  <c r="P197" i="6"/>
  <c r="O197" i="6"/>
  <c r="N197" i="6"/>
  <c r="M197" i="6"/>
  <c r="J197" i="6"/>
  <c r="I197" i="6"/>
  <c r="H197" i="6"/>
  <c r="G197" i="6"/>
  <c r="F197" i="6"/>
  <c r="E197" i="6"/>
  <c r="D197" i="6"/>
  <c r="C197" i="6"/>
  <c r="B197" i="6"/>
  <c r="A197" i="6"/>
  <c r="Y196" i="6"/>
  <c r="X196" i="6"/>
  <c r="W196" i="6"/>
  <c r="V196" i="6"/>
  <c r="U196" i="6"/>
  <c r="T196" i="6"/>
  <c r="S196" i="6"/>
  <c r="R196" i="6"/>
  <c r="P196" i="6"/>
  <c r="O196" i="6"/>
  <c r="N196" i="6"/>
  <c r="M196" i="6"/>
  <c r="J196" i="6"/>
  <c r="I196" i="6"/>
  <c r="H196" i="6"/>
  <c r="G196" i="6"/>
  <c r="F196" i="6"/>
  <c r="E196" i="6"/>
  <c r="D196" i="6"/>
  <c r="C196" i="6"/>
  <c r="B196" i="6"/>
  <c r="A196" i="6"/>
  <c r="Y195" i="6"/>
  <c r="X195" i="6"/>
  <c r="W195" i="6"/>
  <c r="V195" i="6"/>
  <c r="U195" i="6"/>
  <c r="T195" i="6"/>
  <c r="S195" i="6"/>
  <c r="R195" i="6"/>
  <c r="P195" i="6"/>
  <c r="O195" i="6"/>
  <c r="N195" i="6"/>
  <c r="M195" i="6"/>
  <c r="J195" i="6"/>
  <c r="I195" i="6"/>
  <c r="H195" i="6"/>
  <c r="G195" i="6"/>
  <c r="F195" i="6"/>
  <c r="E195" i="6"/>
  <c r="D195" i="6"/>
  <c r="C195" i="6"/>
  <c r="B195" i="6"/>
  <c r="A195" i="6"/>
  <c r="Y194" i="6"/>
  <c r="X194" i="6"/>
  <c r="W194" i="6"/>
  <c r="V194" i="6"/>
  <c r="U194" i="6"/>
  <c r="T194" i="6"/>
  <c r="S194" i="6"/>
  <c r="R194" i="6"/>
  <c r="P194" i="6"/>
  <c r="O194" i="6"/>
  <c r="N194" i="6"/>
  <c r="M194" i="6"/>
  <c r="J194" i="6"/>
  <c r="I194" i="6"/>
  <c r="H194" i="6"/>
  <c r="G194" i="6"/>
  <c r="F194" i="6"/>
  <c r="E194" i="6"/>
  <c r="D194" i="6"/>
  <c r="C194" i="6"/>
  <c r="B194" i="6"/>
  <c r="A194" i="6"/>
  <c r="Y193" i="6"/>
  <c r="X193" i="6"/>
  <c r="W193" i="6"/>
  <c r="V193" i="6"/>
  <c r="U193" i="6"/>
  <c r="T193" i="6"/>
  <c r="S193" i="6"/>
  <c r="R193" i="6"/>
  <c r="P193" i="6"/>
  <c r="O193" i="6"/>
  <c r="N193" i="6"/>
  <c r="M193" i="6"/>
  <c r="J193" i="6"/>
  <c r="I193" i="6"/>
  <c r="H193" i="6"/>
  <c r="G193" i="6"/>
  <c r="F193" i="6"/>
  <c r="E193" i="6"/>
  <c r="D193" i="6"/>
  <c r="C193" i="6"/>
  <c r="B193" i="6"/>
  <c r="A193" i="6"/>
  <c r="Y192" i="6"/>
  <c r="X192" i="6"/>
  <c r="W192" i="6"/>
  <c r="V192" i="6"/>
  <c r="U192" i="6"/>
  <c r="T192" i="6"/>
  <c r="S192" i="6"/>
  <c r="R192" i="6"/>
  <c r="Q192" i="6"/>
  <c r="P192" i="6"/>
  <c r="O192" i="6"/>
  <c r="N192" i="6"/>
  <c r="M192" i="6"/>
  <c r="K192" i="6"/>
  <c r="J192" i="6"/>
  <c r="I192" i="6"/>
  <c r="H192" i="6"/>
  <c r="G192" i="6"/>
  <c r="F192" i="6"/>
  <c r="E192" i="6"/>
  <c r="D192" i="6"/>
  <c r="C192" i="6"/>
  <c r="B192" i="6"/>
  <c r="A192" i="6"/>
  <c r="Y191" i="6"/>
  <c r="X191" i="6"/>
  <c r="W191" i="6"/>
  <c r="V191" i="6"/>
  <c r="U191" i="6"/>
  <c r="T191" i="6"/>
  <c r="S191" i="6"/>
  <c r="R191" i="6"/>
  <c r="Q191" i="6"/>
  <c r="P191" i="6"/>
  <c r="O191" i="6"/>
  <c r="N191" i="6"/>
  <c r="M191" i="6"/>
  <c r="J191" i="6"/>
  <c r="I191" i="6"/>
  <c r="H191" i="6"/>
  <c r="G191" i="6"/>
  <c r="F191" i="6"/>
  <c r="E191" i="6"/>
  <c r="D191" i="6"/>
  <c r="C191" i="6"/>
  <c r="B191" i="6"/>
  <c r="A191" i="6"/>
  <c r="Y190" i="6"/>
  <c r="X190" i="6"/>
  <c r="W190" i="6"/>
  <c r="V190" i="6"/>
  <c r="U190" i="6"/>
  <c r="T190" i="6"/>
  <c r="S190" i="6"/>
  <c r="R190" i="6"/>
  <c r="Q190" i="6"/>
  <c r="P190" i="6"/>
  <c r="O190" i="6"/>
  <c r="N190" i="6"/>
  <c r="M190" i="6"/>
  <c r="J190" i="6"/>
  <c r="I190" i="6"/>
  <c r="H190" i="6"/>
  <c r="G190" i="6"/>
  <c r="F190" i="6"/>
  <c r="E190" i="6"/>
  <c r="D190" i="6"/>
  <c r="C190" i="6"/>
  <c r="B190" i="6"/>
  <c r="A190" i="6"/>
  <c r="Y189" i="6"/>
  <c r="X189" i="6"/>
  <c r="W189" i="6"/>
  <c r="V189" i="6"/>
  <c r="U189" i="6"/>
  <c r="T189" i="6"/>
  <c r="S189" i="6"/>
  <c r="R189" i="6"/>
  <c r="Q189" i="6"/>
  <c r="P189" i="6"/>
  <c r="O189" i="6"/>
  <c r="N189" i="6"/>
  <c r="M189" i="6"/>
  <c r="K189" i="6"/>
  <c r="J189" i="6"/>
  <c r="I189" i="6"/>
  <c r="H189" i="6"/>
  <c r="G189" i="6"/>
  <c r="F189" i="6"/>
  <c r="E189" i="6"/>
  <c r="D189" i="6"/>
  <c r="C189" i="6"/>
  <c r="B189" i="6"/>
  <c r="A189" i="6"/>
  <c r="Y188" i="6"/>
  <c r="X188" i="6"/>
  <c r="W188" i="6"/>
  <c r="V188" i="6"/>
  <c r="U188" i="6"/>
  <c r="T188" i="6"/>
  <c r="S188" i="6"/>
  <c r="R188" i="6"/>
  <c r="Q188" i="6"/>
  <c r="P188" i="6"/>
  <c r="O188" i="6"/>
  <c r="N188" i="6"/>
  <c r="M188" i="6"/>
  <c r="K188" i="6"/>
  <c r="J188" i="6"/>
  <c r="I188" i="6"/>
  <c r="H188" i="6"/>
  <c r="G188" i="6"/>
  <c r="F188" i="6"/>
  <c r="E188" i="6"/>
  <c r="D188" i="6"/>
  <c r="C188" i="6"/>
  <c r="B188" i="6"/>
  <c r="A188" i="6"/>
  <c r="Y187" i="6"/>
  <c r="X187" i="6"/>
  <c r="W187" i="6"/>
  <c r="V187" i="6"/>
  <c r="U187" i="6"/>
  <c r="T187" i="6"/>
  <c r="S187" i="6"/>
  <c r="R187" i="6"/>
  <c r="Q187" i="6"/>
  <c r="P187" i="6"/>
  <c r="O187" i="6"/>
  <c r="N187" i="6"/>
  <c r="M187" i="6"/>
  <c r="K187" i="6"/>
  <c r="J187" i="6"/>
  <c r="I187" i="6"/>
  <c r="H187" i="6"/>
  <c r="G187" i="6"/>
  <c r="F187" i="6"/>
  <c r="E187" i="6"/>
  <c r="D187" i="6"/>
  <c r="C187" i="6"/>
  <c r="B187" i="6"/>
  <c r="A187" i="6"/>
  <c r="Y186" i="6"/>
  <c r="X186" i="6"/>
  <c r="W186" i="6"/>
  <c r="V186" i="6"/>
  <c r="U186" i="6"/>
  <c r="T186" i="6"/>
  <c r="S186" i="6"/>
  <c r="R186" i="6"/>
  <c r="Q186" i="6"/>
  <c r="P186" i="6"/>
  <c r="O186" i="6"/>
  <c r="N186" i="6"/>
  <c r="M186" i="6"/>
  <c r="K186" i="6"/>
  <c r="J186" i="6"/>
  <c r="I186" i="6"/>
  <c r="H186" i="6"/>
  <c r="G186" i="6"/>
  <c r="F186" i="6"/>
  <c r="E186" i="6"/>
  <c r="D186" i="6"/>
  <c r="C186" i="6"/>
  <c r="B186" i="6"/>
  <c r="A186" i="6"/>
  <c r="Y185" i="6"/>
  <c r="X185" i="6"/>
  <c r="W185" i="6"/>
  <c r="V185" i="6"/>
  <c r="U185" i="6"/>
  <c r="T185" i="6"/>
  <c r="S185" i="6"/>
  <c r="R185" i="6"/>
  <c r="Q185" i="6"/>
  <c r="P185" i="6"/>
  <c r="O185" i="6"/>
  <c r="N185" i="6"/>
  <c r="M185" i="6"/>
  <c r="K185" i="6"/>
  <c r="J185" i="6"/>
  <c r="I185" i="6"/>
  <c r="H185" i="6"/>
  <c r="G185" i="6"/>
  <c r="F185" i="6"/>
  <c r="E185" i="6"/>
  <c r="D185" i="6"/>
  <c r="C185" i="6"/>
  <c r="B185" i="6"/>
  <c r="A185" i="6"/>
  <c r="Y184" i="6"/>
  <c r="X184" i="6"/>
  <c r="W184" i="6"/>
  <c r="V184" i="6"/>
  <c r="U184" i="6"/>
  <c r="T184" i="6"/>
  <c r="S184" i="6"/>
  <c r="R184" i="6"/>
  <c r="Q184" i="6"/>
  <c r="P184" i="6"/>
  <c r="O184" i="6"/>
  <c r="N184" i="6"/>
  <c r="M184" i="6"/>
  <c r="K184" i="6"/>
  <c r="J184" i="6"/>
  <c r="I184" i="6"/>
  <c r="H184" i="6"/>
  <c r="G184" i="6"/>
  <c r="F184" i="6"/>
  <c r="E184" i="6"/>
  <c r="D184" i="6"/>
  <c r="C184" i="6"/>
  <c r="B184" i="6"/>
  <c r="A184" i="6"/>
  <c r="Y183" i="6"/>
  <c r="X183" i="6"/>
  <c r="W183" i="6"/>
  <c r="V183" i="6"/>
  <c r="U183" i="6"/>
  <c r="T183" i="6"/>
  <c r="S183" i="6"/>
  <c r="R183" i="6"/>
  <c r="Q183" i="6"/>
  <c r="P183" i="6"/>
  <c r="O183" i="6"/>
  <c r="N183" i="6"/>
  <c r="M183" i="6"/>
  <c r="K183" i="6"/>
  <c r="J183" i="6"/>
  <c r="I183" i="6"/>
  <c r="H183" i="6"/>
  <c r="G183" i="6"/>
  <c r="F183" i="6"/>
  <c r="E183" i="6"/>
  <c r="D183" i="6"/>
  <c r="C183" i="6"/>
  <c r="B183" i="6"/>
  <c r="A183" i="6"/>
  <c r="Y182" i="6"/>
  <c r="X182" i="6"/>
  <c r="W182" i="6"/>
  <c r="V182" i="6"/>
  <c r="U182" i="6"/>
  <c r="T182" i="6"/>
  <c r="S182" i="6"/>
  <c r="R182" i="6"/>
  <c r="Q182" i="6"/>
  <c r="P182" i="6"/>
  <c r="O182" i="6"/>
  <c r="N182" i="6"/>
  <c r="M182" i="6"/>
  <c r="K182" i="6"/>
  <c r="J182" i="6"/>
  <c r="I182" i="6"/>
  <c r="H182" i="6"/>
  <c r="G182" i="6"/>
  <c r="F182" i="6"/>
  <c r="E182" i="6"/>
  <c r="D182" i="6"/>
  <c r="C182" i="6"/>
  <c r="B182" i="6"/>
  <c r="A182" i="6"/>
  <c r="Y181" i="6"/>
  <c r="X181" i="6"/>
  <c r="W181" i="6"/>
  <c r="V181" i="6"/>
  <c r="U181" i="6"/>
  <c r="T181" i="6"/>
  <c r="S181" i="6"/>
  <c r="R181" i="6"/>
  <c r="Q181" i="6"/>
  <c r="P181" i="6"/>
  <c r="O181" i="6"/>
  <c r="N181" i="6"/>
  <c r="M181" i="6"/>
  <c r="K181" i="6"/>
  <c r="J181" i="6"/>
  <c r="I181" i="6"/>
  <c r="H181" i="6"/>
  <c r="G181" i="6"/>
  <c r="F181" i="6"/>
  <c r="E181" i="6"/>
  <c r="D181" i="6"/>
  <c r="C181" i="6"/>
  <c r="B181" i="6"/>
  <c r="A181" i="6"/>
  <c r="Y180" i="6"/>
  <c r="X180" i="6"/>
  <c r="W180" i="6"/>
  <c r="V180" i="6"/>
  <c r="U180" i="6"/>
  <c r="T180" i="6"/>
  <c r="S180" i="6"/>
  <c r="R180" i="6"/>
  <c r="Q180" i="6"/>
  <c r="P180" i="6"/>
  <c r="O180" i="6"/>
  <c r="N180" i="6"/>
  <c r="M180" i="6"/>
  <c r="K180" i="6"/>
  <c r="J180" i="6"/>
  <c r="I180" i="6"/>
  <c r="H180" i="6"/>
  <c r="G180" i="6"/>
  <c r="F180" i="6"/>
  <c r="E180" i="6"/>
  <c r="D180" i="6"/>
  <c r="C180" i="6"/>
  <c r="B180" i="6"/>
  <c r="A180" i="6"/>
  <c r="Y179" i="6"/>
  <c r="X179" i="6"/>
  <c r="W179" i="6"/>
  <c r="V179" i="6"/>
  <c r="U179" i="6"/>
  <c r="T179" i="6"/>
  <c r="S179" i="6"/>
  <c r="R179" i="6"/>
  <c r="Q179" i="6"/>
  <c r="P179" i="6"/>
  <c r="O179" i="6"/>
  <c r="N179" i="6"/>
  <c r="M179" i="6"/>
  <c r="K179" i="6"/>
  <c r="J179" i="6"/>
  <c r="I179" i="6"/>
  <c r="H179" i="6"/>
  <c r="G179" i="6"/>
  <c r="F179" i="6"/>
  <c r="E179" i="6"/>
  <c r="D179" i="6"/>
  <c r="C179" i="6"/>
  <c r="B179" i="6"/>
  <c r="A179" i="6"/>
  <c r="Y178" i="6"/>
  <c r="X178" i="6"/>
  <c r="W178" i="6"/>
  <c r="V178" i="6"/>
  <c r="U178" i="6"/>
  <c r="T178" i="6"/>
  <c r="S178" i="6"/>
  <c r="R178" i="6"/>
  <c r="Q178" i="6"/>
  <c r="P178" i="6"/>
  <c r="O178" i="6"/>
  <c r="N178" i="6"/>
  <c r="M178" i="6"/>
  <c r="L178" i="6"/>
  <c r="K178" i="6"/>
  <c r="J178" i="6"/>
  <c r="I178" i="6"/>
  <c r="H178" i="6"/>
  <c r="G178" i="6"/>
  <c r="F178" i="6"/>
  <c r="E178" i="6"/>
  <c r="D178" i="6"/>
  <c r="C178" i="6"/>
  <c r="B178" i="6"/>
  <c r="A178" i="6"/>
  <c r="Y177" i="6"/>
  <c r="X177" i="6"/>
  <c r="W177" i="6"/>
  <c r="V177" i="6"/>
  <c r="U177" i="6"/>
  <c r="T177" i="6"/>
  <c r="S177" i="6"/>
  <c r="R177" i="6"/>
  <c r="Q177" i="6"/>
  <c r="P177" i="6"/>
  <c r="O177" i="6"/>
  <c r="N177" i="6"/>
  <c r="M177" i="6"/>
  <c r="L177" i="6"/>
  <c r="K177" i="6"/>
  <c r="J177" i="6"/>
  <c r="I177" i="6"/>
  <c r="H177" i="6"/>
  <c r="G177" i="6"/>
  <c r="F177" i="6"/>
  <c r="E177" i="6"/>
  <c r="D177" i="6"/>
  <c r="C177" i="6"/>
  <c r="B177" i="6"/>
  <c r="A177" i="6"/>
  <c r="Y176" i="6"/>
  <c r="X176" i="6"/>
  <c r="W176" i="6"/>
  <c r="V176" i="6"/>
  <c r="U176" i="6"/>
  <c r="T176" i="6"/>
  <c r="S176" i="6"/>
  <c r="R176" i="6"/>
  <c r="Q176" i="6"/>
  <c r="P176" i="6"/>
  <c r="O176" i="6"/>
  <c r="N176" i="6"/>
  <c r="M176" i="6"/>
  <c r="K176" i="6"/>
  <c r="J176" i="6"/>
  <c r="I176" i="6"/>
  <c r="H176" i="6"/>
  <c r="G176" i="6"/>
  <c r="F176" i="6"/>
  <c r="E176" i="6"/>
  <c r="D176" i="6"/>
  <c r="C176" i="6"/>
  <c r="B176" i="6"/>
  <c r="A176" i="6"/>
  <c r="Y175" i="6"/>
  <c r="X175" i="6"/>
  <c r="W175" i="6"/>
  <c r="V175" i="6"/>
  <c r="U175" i="6"/>
  <c r="T175" i="6"/>
  <c r="S175" i="6"/>
  <c r="R175" i="6"/>
  <c r="Q175" i="6"/>
  <c r="P175" i="6"/>
  <c r="O175" i="6"/>
  <c r="N175" i="6"/>
  <c r="M175" i="6"/>
  <c r="K175" i="6"/>
  <c r="J175" i="6"/>
  <c r="I175" i="6"/>
  <c r="H175" i="6"/>
  <c r="G175" i="6"/>
  <c r="F175" i="6"/>
  <c r="E175" i="6"/>
  <c r="D175" i="6"/>
  <c r="C175" i="6"/>
  <c r="B175" i="6"/>
  <c r="A175" i="6"/>
  <c r="Y174" i="6"/>
  <c r="X174" i="6"/>
  <c r="W174" i="6"/>
  <c r="V174" i="6"/>
  <c r="U174" i="6"/>
  <c r="T174" i="6"/>
  <c r="S174" i="6"/>
  <c r="R174" i="6"/>
  <c r="Q174" i="6"/>
  <c r="P174" i="6"/>
  <c r="O174" i="6"/>
  <c r="N174" i="6"/>
  <c r="M174" i="6"/>
  <c r="K174" i="6"/>
  <c r="J174" i="6"/>
  <c r="I174" i="6"/>
  <c r="H174" i="6"/>
  <c r="G174" i="6"/>
  <c r="F174" i="6"/>
  <c r="E174" i="6"/>
  <c r="D174" i="6"/>
  <c r="C174" i="6"/>
  <c r="B174" i="6"/>
  <c r="A174" i="6"/>
  <c r="Y173" i="6"/>
  <c r="X173" i="6"/>
  <c r="W173" i="6"/>
  <c r="V173" i="6"/>
  <c r="U173" i="6"/>
  <c r="T173" i="6"/>
  <c r="S173" i="6"/>
  <c r="R173" i="6"/>
  <c r="Q173" i="6"/>
  <c r="P173" i="6"/>
  <c r="O173" i="6"/>
  <c r="N173" i="6"/>
  <c r="M173" i="6"/>
  <c r="K173" i="6"/>
  <c r="J173" i="6"/>
  <c r="I173" i="6"/>
  <c r="H173" i="6"/>
  <c r="G173" i="6"/>
  <c r="F173" i="6"/>
  <c r="E173" i="6"/>
  <c r="D173" i="6"/>
  <c r="C173" i="6"/>
  <c r="B173" i="6"/>
  <c r="A173" i="6"/>
  <c r="Y172" i="6"/>
  <c r="X172" i="6"/>
  <c r="W172" i="6"/>
  <c r="V172" i="6"/>
  <c r="U172" i="6"/>
  <c r="T172" i="6"/>
  <c r="S172" i="6"/>
  <c r="R172" i="6"/>
  <c r="Q172" i="6"/>
  <c r="P172" i="6"/>
  <c r="O172" i="6"/>
  <c r="N172" i="6"/>
  <c r="M172" i="6"/>
  <c r="K172" i="6"/>
  <c r="J172" i="6"/>
  <c r="I172" i="6"/>
  <c r="H172" i="6"/>
  <c r="G172" i="6"/>
  <c r="F172" i="6"/>
  <c r="E172" i="6"/>
  <c r="D172" i="6"/>
  <c r="C172" i="6"/>
  <c r="B172" i="6"/>
  <c r="A172" i="6"/>
  <c r="Y171" i="6"/>
  <c r="X171" i="6"/>
  <c r="W171" i="6"/>
  <c r="V171" i="6"/>
  <c r="U171" i="6"/>
  <c r="T171" i="6"/>
  <c r="S171" i="6"/>
  <c r="R171" i="6"/>
  <c r="Q171" i="6"/>
  <c r="P171" i="6"/>
  <c r="O171" i="6"/>
  <c r="N171" i="6"/>
  <c r="M171" i="6"/>
  <c r="L171" i="6"/>
  <c r="K171" i="6"/>
  <c r="J171" i="6"/>
  <c r="I171" i="6"/>
  <c r="H171" i="6"/>
  <c r="G171" i="6"/>
  <c r="F171" i="6"/>
  <c r="E171" i="6"/>
  <c r="D171" i="6"/>
  <c r="C171" i="6"/>
  <c r="B171" i="6"/>
  <c r="A171" i="6"/>
  <c r="Y170" i="6"/>
  <c r="X170" i="6"/>
  <c r="W170" i="6"/>
  <c r="V170" i="6"/>
  <c r="U170" i="6"/>
  <c r="T170" i="6"/>
  <c r="S170" i="6"/>
  <c r="R170" i="6"/>
  <c r="P170" i="6"/>
  <c r="O170" i="6"/>
  <c r="N170" i="6"/>
  <c r="M170" i="6"/>
  <c r="L170" i="6"/>
  <c r="K170" i="6"/>
  <c r="J170" i="6"/>
  <c r="I170" i="6"/>
  <c r="H170" i="6"/>
  <c r="G170" i="6"/>
  <c r="F170" i="6"/>
  <c r="E170" i="6"/>
  <c r="D170" i="6"/>
  <c r="C170" i="6"/>
  <c r="B170" i="6"/>
  <c r="A170" i="6"/>
  <c r="Y169" i="6"/>
  <c r="X169" i="6"/>
  <c r="W169" i="6"/>
  <c r="V169" i="6"/>
  <c r="U169" i="6"/>
  <c r="T169" i="6"/>
  <c r="S169" i="6"/>
  <c r="R169" i="6"/>
  <c r="Q169" i="6"/>
  <c r="P169" i="6"/>
  <c r="O169" i="6"/>
  <c r="N169" i="6"/>
  <c r="M169" i="6"/>
  <c r="K169" i="6"/>
  <c r="J169" i="6"/>
  <c r="I169" i="6"/>
  <c r="H169" i="6"/>
  <c r="G169" i="6"/>
  <c r="F169" i="6"/>
  <c r="E169" i="6"/>
  <c r="D169" i="6"/>
  <c r="C169" i="6"/>
  <c r="B169" i="6"/>
  <c r="A169" i="6"/>
  <c r="Y168" i="6"/>
  <c r="X168" i="6"/>
  <c r="W168" i="6"/>
  <c r="V168" i="6"/>
  <c r="U168" i="6"/>
  <c r="T168" i="6"/>
  <c r="S168" i="6"/>
  <c r="R168" i="6"/>
  <c r="Q168" i="6"/>
  <c r="P168" i="6"/>
  <c r="O168" i="6"/>
  <c r="N168" i="6"/>
  <c r="M168" i="6"/>
  <c r="K168" i="6"/>
  <c r="J168" i="6"/>
  <c r="I168" i="6"/>
  <c r="H168" i="6"/>
  <c r="G168" i="6"/>
  <c r="F168" i="6"/>
  <c r="E168" i="6"/>
  <c r="D168" i="6"/>
  <c r="C168" i="6"/>
  <c r="B168" i="6"/>
  <c r="A168" i="6"/>
  <c r="Y167" i="6"/>
  <c r="X167" i="6"/>
  <c r="W167" i="6"/>
  <c r="V167" i="6"/>
  <c r="U167" i="6"/>
  <c r="T167" i="6"/>
  <c r="S167" i="6"/>
  <c r="R167" i="6"/>
  <c r="Q167" i="6"/>
  <c r="P167" i="6"/>
  <c r="O167" i="6"/>
  <c r="N167" i="6"/>
  <c r="M167" i="6"/>
  <c r="K167" i="6"/>
  <c r="J167" i="6"/>
  <c r="I167" i="6"/>
  <c r="H167" i="6"/>
  <c r="G167" i="6"/>
  <c r="F167" i="6"/>
  <c r="E167" i="6"/>
  <c r="D167" i="6"/>
  <c r="C167" i="6"/>
  <c r="B167" i="6"/>
  <c r="A167" i="6"/>
  <c r="Y166" i="6"/>
  <c r="X166" i="6"/>
  <c r="W166" i="6"/>
  <c r="V166" i="6"/>
  <c r="U166" i="6"/>
  <c r="T166" i="6"/>
  <c r="S166" i="6"/>
  <c r="R166" i="6"/>
  <c r="Q166" i="6"/>
  <c r="P166" i="6"/>
  <c r="O166" i="6"/>
  <c r="N166" i="6"/>
  <c r="M166" i="6"/>
  <c r="K166" i="6"/>
  <c r="J166" i="6"/>
  <c r="I166" i="6"/>
  <c r="H166" i="6"/>
  <c r="G166" i="6"/>
  <c r="F166" i="6"/>
  <c r="E166" i="6"/>
  <c r="D166" i="6"/>
  <c r="C166" i="6"/>
  <c r="B166" i="6"/>
  <c r="A166" i="6"/>
  <c r="Y165" i="6"/>
  <c r="X165" i="6"/>
  <c r="W165" i="6"/>
  <c r="V165" i="6"/>
  <c r="U165" i="6"/>
  <c r="T165" i="6"/>
  <c r="S165" i="6"/>
  <c r="R165" i="6"/>
  <c r="Q165" i="6"/>
  <c r="P165" i="6"/>
  <c r="O165" i="6"/>
  <c r="N165" i="6"/>
  <c r="M165" i="6"/>
  <c r="L165" i="6"/>
  <c r="J165" i="6"/>
  <c r="I165" i="6"/>
  <c r="H165" i="6"/>
  <c r="G165" i="6"/>
  <c r="F165" i="6"/>
  <c r="E165" i="6"/>
  <c r="D165" i="6"/>
  <c r="C165" i="6"/>
  <c r="B165" i="6"/>
  <c r="A165" i="6"/>
  <c r="Y164" i="6"/>
  <c r="X164" i="6"/>
  <c r="W164" i="6"/>
  <c r="V164" i="6"/>
  <c r="U164" i="6"/>
  <c r="T164" i="6"/>
  <c r="S164" i="6"/>
  <c r="R164" i="6"/>
  <c r="Q164" i="6"/>
  <c r="P164" i="6"/>
  <c r="O164" i="6"/>
  <c r="N164" i="6"/>
  <c r="M164" i="6"/>
  <c r="L164" i="6"/>
  <c r="J164" i="6"/>
  <c r="I164" i="6"/>
  <c r="H164" i="6"/>
  <c r="G164" i="6"/>
  <c r="F164" i="6"/>
  <c r="E164" i="6"/>
  <c r="D164" i="6"/>
  <c r="C164" i="6"/>
  <c r="B164" i="6"/>
  <c r="A164" i="6"/>
  <c r="Y163" i="6"/>
  <c r="X163" i="6"/>
  <c r="W163" i="6"/>
  <c r="V163" i="6"/>
  <c r="U163" i="6"/>
  <c r="T163" i="6"/>
  <c r="S163" i="6"/>
  <c r="R163" i="6"/>
  <c r="Q163" i="6"/>
  <c r="P163" i="6"/>
  <c r="O163" i="6"/>
  <c r="N163" i="6"/>
  <c r="M163" i="6"/>
  <c r="J163" i="6"/>
  <c r="I163" i="6"/>
  <c r="H163" i="6"/>
  <c r="G163" i="6"/>
  <c r="F163" i="6"/>
  <c r="E163" i="6"/>
  <c r="D163" i="6"/>
  <c r="C163" i="6"/>
  <c r="B163" i="6"/>
  <c r="A163" i="6"/>
  <c r="Y162" i="6"/>
  <c r="X162" i="6"/>
  <c r="W162" i="6"/>
  <c r="V162" i="6"/>
  <c r="U162" i="6"/>
  <c r="T162" i="6"/>
  <c r="S162" i="6"/>
  <c r="R162" i="6"/>
  <c r="Q162" i="6"/>
  <c r="P162" i="6"/>
  <c r="O162" i="6"/>
  <c r="N162" i="6"/>
  <c r="M162" i="6"/>
  <c r="L162" i="6"/>
  <c r="J162" i="6"/>
  <c r="I162" i="6"/>
  <c r="H162" i="6"/>
  <c r="G162" i="6"/>
  <c r="F162" i="6"/>
  <c r="E162" i="6"/>
  <c r="D162" i="6"/>
  <c r="C162" i="6"/>
  <c r="B162" i="6"/>
  <c r="A162" i="6"/>
  <c r="Y161" i="6"/>
  <c r="X161" i="6"/>
  <c r="W161" i="6"/>
  <c r="V161" i="6"/>
  <c r="U161" i="6"/>
  <c r="T161" i="6"/>
  <c r="S161" i="6"/>
  <c r="R161" i="6"/>
  <c r="Q161" i="6"/>
  <c r="P161" i="6"/>
  <c r="O161" i="6"/>
  <c r="N161" i="6"/>
  <c r="M161" i="6"/>
  <c r="L161" i="6"/>
  <c r="J161" i="6"/>
  <c r="I161" i="6"/>
  <c r="H161" i="6"/>
  <c r="G161" i="6"/>
  <c r="F161" i="6"/>
  <c r="E161" i="6"/>
  <c r="D161" i="6"/>
  <c r="C161" i="6"/>
  <c r="B161" i="6"/>
  <c r="A161" i="6"/>
  <c r="Y160" i="6"/>
  <c r="X160" i="6"/>
  <c r="W160" i="6"/>
  <c r="V160" i="6"/>
  <c r="U160" i="6"/>
  <c r="T160" i="6"/>
  <c r="S160" i="6"/>
  <c r="R160" i="6"/>
  <c r="Q160" i="6"/>
  <c r="P160" i="6"/>
  <c r="O160" i="6"/>
  <c r="N160" i="6"/>
  <c r="M160" i="6"/>
  <c r="L160" i="6"/>
  <c r="J160" i="6"/>
  <c r="I160" i="6"/>
  <c r="H160" i="6"/>
  <c r="G160" i="6"/>
  <c r="F160" i="6"/>
  <c r="E160" i="6"/>
  <c r="D160" i="6"/>
  <c r="C160" i="6"/>
  <c r="B160" i="6"/>
  <c r="A160" i="6"/>
  <c r="Y159" i="6"/>
  <c r="X159" i="6"/>
  <c r="W159" i="6"/>
  <c r="V159" i="6"/>
  <c r="U159" i="6"/>
  <c r="T159" i="6"/>
  <c r="S159" i="6"/>
  <c r="R159" i="6"/>
  <c r="Q159" i="6"/>
  <c r="P159" i="6"/>
  <c r="O159" i="6"/>
  <c r="N159" i="6"/>
  <c r="M159" i="6"/>
  <c r="L159" i="6"/>
  <c r="J159" i="6"/>
  <c r="I159" i="6"/>
  <c r="H159" i="6"/>
  <c r="G159" i="6"/>
  <c r="F159" i="6"/>
  <c r="E159" i="6"/>
  <c r="D159" i="6"/>
  <c r="C159" i="6"/>
  <c r="B159" i="6"/>
  <c r="A159" i="6"/>
  <c r="Y158" i="6"/>
  <c r="X158" i="6"/>
  <c r="W158" i="6"/>
  <c r="V158" i="6"/>
  <c r="U158" i="6"/>
  <c r="T158" i="6"/>
  <c r="S158" i="6"/>
  <c r="R158" i="6"/>
  <c r="P158" i="6"/>
  <c r="O158" i="6"/>
  <c r="N158" i="6"/>
  <c r="M158" i="6"/>
  <c r="L158" i="6"/>
  <c r="J158" i="6"/>
  <c r="I158" i="6"/>
  <c r="H158" i="6"/>
  <c r="G158" i="6"/>
  <c r="F158" i="6"/>
  <c r="E158" i="6"/>
  <c r="D158" i="6"/>
  <c r="C158" i="6"/>
  <c r="B158" i="6"/>
  <c r="A158" i="6"/>
  <c r="Y157" i="6"/>
  <c r="X157" i="6"/>
  <c r="W157" i="6"/>
  <c r="V157" i="6"/>
  <c r="U157" i="6"/>
  <c r="T157" i="6"/>
  <c r="S157" i="6"/>
  <c r="R157" i="6"/>
  <c r="P157" i="6"/>
  <c r="O157" i="6"/>
  <c r="N157" i="6"/>
  <c r="M157" i="6"/>
  <c r="L157" i="6"/>
  <c r="J157" i="6"/>
  <c r="I157" i="6"/>
  <c r="H157" i="6"/>
  <c r="G157" i="6"/>
  <c r="F157" i="6"/>
  <c r="E157" i="6"/>
  <c r="D157" i="6"/>
  <c r="C157" i="6"/>
  <c r="B157" i="6"/>
  <c r="A157" i="6"/>
  <c r="Y156" i="6"/>
  <c r="X156" i="6"/>
  <c r="W156" i="6"/>
  <c r="V156" i="6"/>
  <c r="U156" i="6"/>
  <c r="T156" i="6"/>
  <c r="S156" i="6"/>
  <c r="R156" i="6"/>
  <c r="Q156" i="6"/>
  <c r="P156" i="6"/>
  <c r="O156" i="6"/>
  <c r="N156" i="6"/>
  <c r="M156" i="6"/>
  <c r="J156" i="6"/>
  <c r="I156" i="6"/>
  <c r="H156" i="6"/>
  <c r="G156" i="6"/>
  <c r="F156" i="6"/>
  <c r="E156" i="6"/>
  <c r="D156" i="6"/>
  <c r="C156" i="6"/>
  <c r="B156" i="6"/>
  <c r="A156" i="6"/>
  <c r="Y155" i="6"/>
  <c r="X155" i="6"/>
  <c r="W155" i="6"/>
  <c r="V155" i="6"/>
  <c r="U155" i="6"/>
  <c r="T155" i="6"/>
  <c r="S155" i="6"/>
  <c r="R155" i="6"/>
  <c r="Q155" i="6"/>
  <c r="P155" i="6"/>
  <c r="O155" i="6"/>
  <c r="N155" i="6"/>
  <c r="M155" i="6"/>
  <c r="L155" i="6"/>
  <c r="J155" i="6"/>
  <c r="I155" i="6"/>
  <c r="H155" i="6"/>
  <c r="G155" i="6"/>
  <c r="F155" i="6"/>
  <c r="E155" i="6"/>
  <c r="D155" i="6"/>
  <c r="C155" i="6"/>
  <c r="B155" i="6"/>
  <c r="A155" i="6"/>
  <c r="Y154" i="6"/>
  <c r="X154" i="6"/>
  <c r="W154" i="6"/>
  <c r="V154" i="6"/>
  <c r="U154" i="6"/>
  <c r="T154" i="6"/>
  <c r="S154" i="6"/>
  <c r="R154" i="6"/>
  <c r="Q154" i="6"/>
  <c r="P154" i="6"/>
  <c r="O154" i="6"/>
  <c r="N154" i="6"/>
  <c r="M154" i="6"/>
  <c r="J154" i="6"/>
  <c r="I154" i="6"/>
  <c r="H154" i="6"/>
  <c r="G154" i="6"/>
  <c r="F154" i="6"/>
  <c r="E154" i="6"/>
  <c r="D154" i="6"/>
  <c r="C154" i="6"/>
  <c r="B154" i="6"/>
  <c r="A154" i="6"/>
  <c r="Y153" i="6"/>
  <c r="X153" i="6"/>
  <c r="W153" i="6"/>
  <c r="V153" i="6"/>
  <c r="U153" i="6"/>
  <c r="T153" i="6"/>
  <c r="S153" i="6"/>
  <c r="R153" i="6"/>
  <c r="Q153" i="6"/>
  <c r="P153" i="6"/>
  <c r="O153" i="6"/>
  <c r="N153" i="6"/>
  <c r="M153" i="6"/>
  <c r="J153" i="6"/>
  <c r="I153" i="6"/>
  <c r="H153" i="6"/>
  <c r="G153" i="6"/>
  <c r="F153" i="6"/>
  <c r="E153" i="6"/>
  <c r="D153" i="6"/>
  <c r="C153" i="6"/>
  <c r="B153" i="6"/>
  <c r="A153" i="6"/>
  <c r="Y152" i="6"/>
  <c r="X152" i="6"/>
  <c r="W152" i="6"/>
  <c r="V152" i="6"/>
  <c r="U152" i="6"/>
  <c r="T152" i="6"/>
  <c r="S152" i="6"/>
  <c r="R152" i="6"/>
  <c r="Q152" i="6"/>
  <c r="P152" i="6"/>
  <c r="O152" i="6"/>
  <c r="N152" i="6"/>
  <c r="M152" i="6"/>
  <c r="L152" i="6"/>
  <c r="J152" i="6"/>
  <c r="I152" i="6"/>
  <c r="H152" i="6"/>
  <c r="G152" i="6"/>
  <c r="F152" i="6"/>
  <c r="E152" i="6"/>
  <c r="D152" i="6"/>
  <c r="C152" i="6"/>
  <c r="B152" i="6"/>
  <c r="A152" i="6"/>
  <c r="Y151" i="6"/>
  <c r="X151" i="6"/>
  <c r="W151" i="6"/>
  <c r="V151" i="6"/>
  <c r="U151" i="6"/>
  <c r="T151" i="6"/>
  <c r="S151" i="6"/>
  <c r="R151" i="6"/>
  <c r="Q151" i="6"/>
  <c r="P151" i="6"/>
  <c r="O151" i="6"/>
  <c r="N151" i="6"/>
  <c r="M151" i="6"/>
  <c r="J151" i="6"/>
  <c r="I151" i="6"/>
  <c r="H151" i="6"/>
  <c r="G151" i="6"/>
  <c r="F151" i="6"/>
  <c r="E151" i="6"/>
  <c r="D151" i="6"/>
  <c r="C151" i="6"/>
  <c r="B151" i="6"/>
  <c r="A151" i="6"/>
  <c r="Y150" i="6"/>
  <c r="X150" i="6"/>
  <c r="W150" i="6"/>
  <c r="V150" i="6"/>
  <c r="U150" i="6"/>
  <c r="T150" i="6"/>
  <c r="S150" i="6"/>
  <c r="R150" i="6"/>
  <c r="Q150" i="6"/>
  <c r="P150" i="6"/>
  <c r="O150" i="6"/>
  <c r="N150" i="6"/>
  <c r="M150" i="6"/>
  <c r="L150" i="6"/>
  <c r="J150" i="6"/>
  <c r="I150" i="6"/>
  <c r="H150" i="6"/>
  <c r="G150" i="6"/>
  <c r="F150" i="6"/>
  <c r="E150" i="6"/>
  <c r="D150" i="6"/>
  <c r="C150" i="6"/>
  <c r="B150" i="6"/>
  <c r="A150" i="6"/>
  <c r="Y149" i="6"/>
  <c r="X149" i="6"/>
  <c r="W149" i="6"/>
  <c r="V149" i="6"/>
  <c r="U149" i="6"/>
  <c r="T149" i="6"/>
  <c r="S149" i="6"/>
  <c r="R149" i="6"/>
  <c r="Q149" i="6"/>
  <c r="P149" i="6"/>
  <c r="O149" i="6"/>
  <c r="N149" i="6"/>
  <c r="M149" i="6"/>
  <c r="L149" i="6"/>
  <c r="J149" i="6"/>
  <c r="I149" i="6"/>
  <c r="H149" i="6"/>
  <c r="G149" i="6"/>
  <c r="F149" i="6"/>
  <c r="E149" i="6"/>
  <c r="D149" i="6"/>
  <c r="C149" i="6"/>
  <c r="B149" i="6"/>
  <c r="A149" i="6"/>
  <c r="Y148" i="6"/>
  <c r="X148" i="6"/>
  <c r="W148" i="6"/>
  <c r="V148" i="6"/>
  <c r="U148" i="6"/>
  <c r="T148" i="6"/>
  <c r="S148" i="6"/>
  <c r="R148" i="6"/>
  <c r="Q148" i="6"/>
  <c r="P148" i="6"/>
  <c r="O148" i="6"/>
  <c r="N148" i="6"/>
  <c r="M148" i="6"/>
  <c r="L148" i="6"/>
  <c r="J148" i="6"/>
  <c r="I148" i="6"/>
  <c r="H148" i="6"/>
  <c r="G148" i="6"/>
  <c r="F148" i="6"/>
  <c r="E148" i="6"/>
  <c r="D148" i="6"/>
  <c r="C148" i="6"/>
  <c r="B148" i="6"/>
  <c r="A148" i="6"/>
  <c r="Y147" i="6"/>
  <c r="X147" i="6"/>
  <c r="W147" i="6"/>
  <c r="V147" i="6"/>
  <c r="U147" i="6"/>
  <c r="T147" i="6"/>
  <c r="S147" i="6"/>
  <c r="R147" i="6"/>
  <c r="Q147" i="6"/>
  <c r="P147" i="6"/>
  <c r="O147" i="6"/>
  <c r="N147" i="6"/>
  <c r="M147" i="6"/>
  <c r="J147" i="6"/>
  <c r="I147" i="6"/>
  <c r="H147" i="6"/>
  <c r="G147" i="6"/>
  <c r="F147" i="6"/>
  <c r="E147" i="6"/>
  <c r="D147" i="6"/>
  <c r="C147" i="6"/>
  <c r="B147" i="6"/>
  <c r="A147" i="6"/>
  <c r="Y146" i="6"/>
  <c r="X146" i="6"/>
  <c r="W146" i="6"/>
  <c r="V146" i="6"/>
  <c r="U146" i="6"/>
  <c r="T146" i="6"/>
  <c r="S146" i="6"/>
  <c r="R146" i="6"/>
  <c r="Q146" i="6"/>
  <c r="P146" i="6"/>
  <c r="O146" i="6"/>
  <c r="N146" i="6"/>
  <c r="M146" i="6"/>
  <c r="L146" i="6"/>
  <c r="J146" i="6"/>
  <c r="I146" i="6"/>
  <c r="H146" i="6"/>
  <c r="G146" i="6"/>
  <c r="F146" i="6"/>
  <c r="E146" i="6"/>
  <c r="D146" i="6"/>
  <c r="C146" i="6"/>
  <c r="B146" i="6"/>
  <c r="A146" i="6"/>
  <c r="Y145" i="6"/>
  <c r="X145" i="6"/>
  <c r="W145" i="6"/>
  <c r="V145" i="6"/>
  <c r="U145" i="6"/>
  <c r="T145" i="6"/>
  <c r="S145" i="6"/>
  <c r="R145" i="6"/>
  <c r="Q145" i="6"/>
  <c r="P145" i="6"/>
  <c r="O145" i="6"/>
  <c r="N145" i="6"/>
  <c r="M145" i="6"/>
  <c r="K145" i="6"/>
  <c r="J145" i="6"/>
  <c r="I145" i="6"/>
  <c r="H145" i="6"/>
  <c r="G145" i="6"/>
  <c r="F145" i="6"/>
  <c r="E145" i="6"/>
  <c r="D145" i="6"/>
  <c r="C145" i="6"/>
  <c r="B145" i="6"/>
  <c r="A145" i="6"/>
  <c r="Y144" i="6"/>
  <c r="X144" i="6"/>
  <c r="W144" i="6"/>
  <c r="V144" i="6"/>
  <c r="U144" i="6"/>
  <c r="T144" i="6"/>
  <c r="S144" i="6"/>
  <c r="R144" i="6"/>
  <c r="Q144" i="6"/>
  <c r="P144" i="6"/>
  <c r="O144" i="6"/>
  <c r="N144" i="6"/>
  <c r="M144" i="6"/>
  <c r="K144" i="6"/>
  <c r="J144" i="6"/>
  <c r="I144" i="6"/>
  <c r="H144" i="6"/>
  <c r="G144" i="6"/>
  <c r="F144" i="6"/>
  <c r="E144" i="6"/>
  <c r="D144" i="6"/>
  <c r="C144" i="6"/>
  <c r="B144" i="6"/>
  <c r="A144" i="6"/>
  <c r="Y143" i="6"/>
  <c r="X143" i="6"/>
  <c r="W143" i="6"/>
  <c r="V143" i="6"/>
  <c r="U143" i="6"/>
  <c r="T143" i="6"/>
  <c r="S143" i="6"/>
  <c r="R143" i="6"/>
  <c r="Q143" i="6"/>
  <c r="P143" i="6"/>
  <c r="O143" i="6"/>
  <c r="N143" i="6"/>
  <c r="M143" i="6"/>
  <c r="L143" i="6"/>
  <c r="K143" i="6"/>
  <c r="J143" i="6"/>
  <c r="I143" i="6"/>
  <c r="H143" i="6"/>
  <c r="G143" i="6"/>
  <c r="F143" i="6"/>
  <c r="E143" i="6"/>
  <c r="D143" i="6"/>
  <c r="C143" i="6"/>
  <c r="B143" i="6"/>
  <c r="A143" i="6"/>
  <c r="Y142" i="6"/>
  <c r="X142" i="6"/>
  <c r="W142" i="6"/>
  <c r="V142" i="6"/>
  <c r="U142" i="6"/>
  <c r="T142" i="6"/>
  <c r="S142" i="6"/>
  <c r="R142" i="6"/>
  <c r="Q142" i="6"/>
  <c r="P142" i="6"/>
  <c r="O142" i="6"/>
  <c r="N142" i="6"/>
  <c r="M142" i="6"/>
  <c r="L142" i="6"/>
  <c r="J142" i="6"/>
  <c r="I142" i="6"/>
  <c r="H142" i="6"/>
  <c r="G142" i="6"/>
  <c r="F142" i="6"/>
  <c r="E142" i="6"/>
  <c r="D142" i="6"/>
  <c r="C142" i="6"/>
  <c r="B142" i="6"/>
  <c r="A142" i="6"/>
  <c r="Y141" i="6"/>
  <c r="X141" i="6"/>
  <c r="W141" i="6"/>
  <c r="V141" i="6"/>
  <c r="U141" i="6"/>
  <c r="T141" i="6"/>
  <c r="S141" i="6"/>
  <c r="R141" i="6"/>
  <c r="Q141" i="6"/>
  <c r="P141" i="6"/>
  <c r="O141" i="6"/>
  <c r="N141" i="6"/>
  <c r="M141" i="6"/>
  <c r="L141" i="6"/>
  <c r="J141" i="6"/>
  <c r="I141" i="6"/>
  <c r="H141" i="6"/>
  <c r="G141" i="6"/>
  <c r="F141" i="6"/>
  <c r="E141" i="6"/>
  <c r="D141" i="6"/>
  <c r="C141" i="6"/>
  <c r="B141" i="6"/>
  <c r="A141" i="6"/>
  <c r="Y140" i="6"/>
  <c r="X140" i="6"/>
  <c r="W140" i="6"/>
  <c r="V140" i="6"/>
  <c r="U140" i="6"/>
  <c r="T140" i="6"/>
  <c r="S140" i="6"/>
  <c r="R140" i="6"/>
  <c r="Q140" i="6"/>
  <c r="P140" i="6"/>
  <c r="O140" i="6"/>
  <c r="N140" i="6"/>
  <c r="M140" i="6"/>
  <c r="L140" i="6"/>
  <c r="J140" i="6"/>
  <c r="I140" i="6"/>
  <c r="H140" i="6"/>
  <c r="G140" i="6"/>
  <c r="F140" i="6"/>
  <c r="E140" i="6"/>
  <c r="D140" i="6"/>
  <c r="C140" i="6"/>
  <c r="B140" i="6"/>
  <c r="A140" i="6"/>
  <c r="Y139" i="6"/>
  <c r="X139" i="6"/>
  <c r="W139" i="6"/>
  <c r="V139" i="6"/>
  <c r="U139" i="6"/>
  <c r="T139" i="6"/>
  <c r="S139" i="6"/>
  <c r="R139" i="6"/>
  <c r="Q139" i="6"/>
  <c r="P139" i="6"/>
  <c r="O139" i="6"/>
  <c r="N139" i="6"/>
  <c r="M139" i="6"/>
  <c r="L139" i="6"/>
  <c r="K139" i="6"/>
  <c r="J139" i="6"/>
  <c r="I139" i="6"/>
  <c r="H139" i="6"/>
  <c r="G139" i="6"/>
  <c r="F139" i="6"/>
  <c r="E139" i="6"/>
  <c r="D139" i="6"/>
  <c r="C139" i="6"/>
  <c r="B139" i="6"/>
  <c r="A139" i="6"/>
  <c r="Y138" i="6"/>
  <c r="X138" i="6"/>
  <c r="W138" i="6"/>
  <c r="V138" i="6"/>
  <c r="U138" i="6"/>
  <c r="T138" i="6"/>
  <c r="S138" i="6"/>
  <c r="R138" i="6"/>
  <c r="Q138" i="6"/>
  <c r="P138" i="6"/>
  <c r="O138" i="6"/>
  <c r="N138" i="6"/>
  <c r="M138" i="6"/>
  <c r="K138" i="6"/>
  <c r="J138" i="6"/>
  <c r="I138" i="6"/>
  <c r="H138" i="6"/>
  <c r="G138" i="6"/>
  <c r="F138" i="6"/>
  <c r="E138" i="6"/>
  <c r="D138" i="6"/>
  <c r="C138" i="6"/>
  <c r="B138" i="6"/>
  <c r="A138" i="6"/>
  <c r="Y137" i="6"/>
  <c r="X137" i="6"/>
  <c r="W137" i="6"/>
  <c r="V137" i="6"/>
  <c r="U137" i="6"/>
  <c r="T137" i="6"/>
  <c r="S137" i="6"/>
  <c r="R137" i="6"/>
  <c r="Q137" i="6"/>
  <c r="P137" i="6"/>
  <c r="O137" i="6"/>
  <c r="N137" i="6"/>
  <c r="M137" i="6"/>
  <c r="J137" i="6"/>
  <c r="I137" i="6"/>
  <c r="H137" i="6"/>
  <c r="G137" i="6"/>
  <c r="F137" i="6"/>
  <c r="E137" i="6"/>
  <c r="D137" i="6"/>
  <c r="C137" i="6"/>
  <c r="B137" i="6"/>
  <c r="A137" i="6"/>
  <c r="Y136" i="6"/>
  <c r="X136" i="6"/>
  <c r="W136" i="6"/>
  <c r="V136" i="6"/>
  <c r="U136" i="6"/>
  <c r="T136" i="6"/>
  <c r="S136" i="6"/>
  <c r="R136" i="6"/>
  <c r="Q136" i="6"/>
  <c r="P136" i="6"/>
  <c r="O136" i="6"/>
  <c r="N136" i="6"/>
  <c r="M136" i="6"/>
  <c r="K136" i="6"/>
  <c r="J136" i="6"/>
  <c r="I136" i="6"/>
  <c r="H136" i="6"/>
  <c r="G136" i="6"/>
  <c r="F136" i="6"/>
  <c r="E136" i="6"/>
  <c r="D136" i="6"/>
  <c r="C136" i="6"/>
  <c r="B136" i="6"/>
  <c r="A136" i="6"/>
  <c r="Y135" i="6"/>
  <c r="X135" i="6"/>
  <c r="W135" i="6"/>
  <c r="V135" i="6"/>
  <c r="U135" i="6"/>
  <c r="T135" i="6"/>
  <c r="S135" i="6"/>
  <c r="R135" i="6"/>
  <c r="Q135" i="6"/>
  <c r="P135" i="6"/>
  <c r="O135" i="6"/>
  <c r="N135" i="6"/>
  <c r="M135" i="6"/>
  <c r="K135" i="6"/>
  <c r="J135" i="6"/>
  <c r="I135" i="6"/>
  <c r="H135" i="6"/>
  <c r="G135" i="6"/>
  <c r="F135" i="6"/>
  <c r="E135" i="6"/>
  <c r="D135" i="6"/>
  <c r="C135" i="6"/>
  <c r="B135" i="6"/>
  <c r="A135" i="6"/>
  <c r="Y134" i="6"/>
  <c r="X134" i="6"/>
  <c r="W134" i="6"/>
  <c r="V134" i="6"/>
  <c r="U134" i="6"/>
  <c r="T134" i="6"/>
  <c r="S134" i="6"/>
  <c r="R134" i="6"/>
  <c r="Q134" i="6"/>
  <c r="P134" i="6"/>
  <c r="O134" i="6"/>
  <c r="N134" i="6"/>
  <c r="M134" i="6"/>
  <c r="K134" i="6"/>
  <c r="J134" i="6"/>
  <c r="I134" i="6"/>
  <c r="H134" i="6"/>
  <c r="G134" i="6"/>
  <c r="F134" i="6"/>
  <c r="E134" i="6"/>
  <c r="D134" i="6"/>
  <c r="C134" i="6"/>
  <c r="B134" i="6"/>
  <c r="A134" i="6"/>
  <c r="Y133" i="6"/>
  <c r="X133" i="6"/>
  <c r="W133" i="6"/>
  <c r="V133" i="6"/>
  <c r="U133" i="6"/>
  <c r="T133" i="6"/>
  <c r="S133" i="6"/>
  <c r="R133" i="6"/>
  <c r="Q133" i="6"/>
  <c r="P133" i="6"/>
  <c r="O133" i="6"/>
  <c r="N133" i="6"/>
  <c r="M133" i="6"/>
  <c r="L133" i="6"/>
  <c r="K133" i="6"/>
  <c r="J133" i="6"/>
  <c r="I133" i="6"/>
  <c r="H133" i="6"/>
  <c r="G133" i="6"/>
  <c r="F133" i="6"/>
  <c r="E133" i="6"/>
  <c r="D133" i="6"/>
  <c r="C133" i="6"/>
  <c r="B133" i="6"/>
  <c r="A133" i="6"/>
  <c r="Y132" i="6"/>
  <c r="X132" i="6"/>
  <c r="W132" i="6"/>
  <c r="V132" i="6"/>
  <c r="U132" i="6"/>
  <c r="T132" i="6"/>
  <c r="S132" i="6"/>
  <c r="R132" i="6"/>
  <c r="P132" i="6"/>
  <c r="O132" i="6"/>
  <c r="N132" i="6"/>
  <c r="M132" i="6"/>
  <c r="L132" i="6"/>
  <c r="J132" i="6"/>
  <c r="I132" i="6"/>
  <c r="H132" i="6"/>
  <c r="G132" i="6"/>
  <c r="F132" i="6"/>
  <c r="E132" i="6"/>
  <c r="D132" i="6"/>
  <c r="C132" i="6"/>
  <c r="B132" i="6"/>
  <c r="A132" i="6"/>
  <c r="Y131" i="6"/>
  <c r="X131" i="6"/>
  <c r="W131" i="6"/>
  <c r="V131" i="6"/>
  <c r="U131" i="6"/>
  <c r="T131" i="6"/>
  <c r="S131" i="6"/>
  <c r="R131" i="6"/>
  <c r="Q131" i="6"/>
  <c r="P131" i="6"/>
  <c r="O131" i="6"/>
  <c r="N131" i="6"/>
  <c r="M131" i="6"/>
  <c r="L131" i="6"/>
  <c r="K131" i="6"/>
  <c r="J131" i="6"/>
  <c r="I131" i="6"/>
  <c r="H131" i="6"/>
  <c r="G131" i="6"/>
  <c r="F131" i="6"/>
  <c r="E131" i="6"/>
  <c r="D131" i="6"/>
  <c r="C131" i="6"/>
  <c r="B131" i="6"/>
  <c r="A131" i="6"/>
  <c r="Y130" i="6"/>
  <c r="X130" i="6"/>
  <c r="W130" i="6"/>
  <c r="V130" i="6"/>
  <c r="U130" i="6"/>
  <c r="T130" i="6"/>
  <c r="S130" i="6"/>
  <c r="R130" i="6"/>
  <c r="Q130" i="6"/>
  <c r="P130" i="6"/>
  <c r="O130" i="6"/>
  <c r="N130" i="6"/>
  <c r="M130" i="6"/>
  <c r="L130" i="6"/>
  <c r="K130" i="6"/>
  <c r="J130" i="6"/>
  <c r="I130" i="6"/>
  <c r="H130" i="6"/>
  <c r="G130" i="6"/>
  <c r="F130" i="6"/>
  <c r="E130" i="6"/>
  <c r="D130" i="6"/>
  <c r="C130" i="6"/>
  <c r="B130" i="6"/>
  <c r="A130" i="6"/>
  <c r="Y129" i="6"/>
  <c r="X129" i="6"/>
  <c r="W129" i="6"/>
  <c r="V129" i="6"/>
  <c r="U129" i="6"/>
  <c r="T129" i="6"/>
  <c r="S129" i="6"/>
  <c r="R129" i="6"/>
  <c r="P129" i="6"/>
  <c r="O129" i="6"/>
  <c r="N129" i="6"/>
  <c r="M129" i="6"/>
  <c r="L129" i="6"/>
  <c r="K129" i="6"/>
  <c r="J129" i="6"/>
  <c r="I129" i="6"/>
  <c r="H129" i="6"/>
  <c r="G129" i="6"/>
  <c r="F129" i="6"/>
  <c r="E129" i="6"/>
  <c r="D129" i="6"/>
  <c r="C129" i="6"/>
  <c r="B129" i="6"/>
  <c r="A129" i="6"/>
  <c r="Y128" i="6"/>
  <c r="X128" i="6"/>
  <c r="W128" i="6"/>
  <c r="V128" i="6"/>
  <c r="U128" i="6"/>
  <c r="T128" i="6"/>
  <c r="S128" i="6"/>
  <c r="R128" i="6"/>
  <c r="P128" i="6"/>
  <c r="O128" i="6"/>
  <c r="N128" i="6"/>
  <c r="M128" i="6"/>
  <c r="L128" i="6"/>
  <c r="K128" i="6"/>
  <c r="J128" i="6"/>
  <c r="I128" i="6"/>
  <c r="H128" i="6"/>
  <c r="G128" i="6"/>
  <c r="F128" i="6"/>
  <c r="E128" i="6"/>
  <c r="D128" i="6"/>
  <c r="C128" i="6"/>
  <c r="B128" i="6"/>
  <c r="A128" i="6"/>
  <c r="Y127" i="6"/>
  <c r="X127" i="6"/>
  <c r="W127" i="6"/>
  <c r="V127" i="6"/>
  <c r="U127" i="6"/>
  <c r="T127" i="6"/>
  <c r="S127" i="6"/>
  <c r="R127" i="6"/>
  <c r="Q127" i="6"/>
  <c r="P127" i="6"/>
  <c r="O127" i="6"/>
  <c r="N127" i="6"/>
  <c r="M127" i="6"/>
  <c r="L127" i="6"/>
  <c r="J127" i="6"/>
  <c r="I127" i="6"/>
  <c r="H127" i="6"/>
  <c r="G127" i="6"/>
  <c r="F127" i="6"/>
  <c r="E127" i="6"/>
  <c r="D127" i="6"/>
  <c r="C127" i="6"/>
  <c r="B127" i="6"/>
  <c r="A127" i="6"/>
  <c r="Y126" i="6"/>
  <c r="X126" i="6"/>
  <c r="W126" i="6"/>
  <c r="V126" i="6"/>
  <c r="U126" i="6"/>
  <c r="T126" i="6"/>
  <c r="S126" i="6"/>
  <c r="R126" i="6"/>
  <c r="Q126" i="6"/>
  <c r="P126" i="6"/>
  <c r="O126" i="6"/>
  <c r="N126" i="6"/>
  <c r="M126" i="6"/>
  <c r="J126" i="6"/>
  <c r="I126" i="6"/>
  <c r="H126" i="6"/>
  <c r="G126" i="6"/>
  <c r="F126" i="6"/>
  <c r="E126" i="6"/>
  <c r="D126" i="6"/>
  <c r="C126" i="6"/>
  <c r="B126" i="6"/>
  <c r="A126" i="6"/>
  <c r="Y125" i="6"/>
  <c r="X125" i="6"/>
  <c r="W125" i="6"/>
  <c r="V125" i="6"/>
  <c r="U125" i="6"/>
  <c r="T125" i="6"/>
  <c r="S125" i="6"/>
  <c r="R125" i="6"/>
  <c r="Q125" i="6"/>
  <c r="P125" i="6"/>
  <c r="O125" i="6"/>
  <c r="N125" i="6"/>
  <c r="M125" i="6"/>
  <c r="J125" i="6"/>
  <c r="I125" i="6"/>
  <c r="H125" i="6"/>
  <c r="G125" i="6"/>
  <c r="F125" i="6"/>
  <c r="E125" i="6"/>
  <c r="D125" i="6"/>
  <c r="C125" i="6"/>
  <c r="B125" i="6"/>
  <c r="A125" i="6"/>
  <c r="Y124" i="6"/>
  <c r="X124" i="6"/>
  <c r="W124" i="6"/>
  <c r="V124" i="6"/>
  <c r="U124" i="6"/>
  <c r="T124" i="6"/>
  <c r="S124" i="6"/>
  <c r="R124" i="6"/>
  <c r="Q124" i="6"/>
  <c r="P124" i="6"/>
  <c r="O124" i="6"/>
  <c r="N124" i="6"/>
  <c r="M124" i="6"/>
  <c r="J124" i="6"/>
  <c r="I124" i="6"/>
  <c r="H124" i="6"/>
  <c r="G124" i="6"/>
  <c r="F124" i="6"/>
  <c r="E124" i="6"/>
  <c r="D124" i="6"/>
  <c r="C124" i="6"/>
  <c r="B124" i="6"/>
  <c r="A124" i="6"/>
  <c r="Y123" i="6"/>
  <c r="X123" i="6"/>
  <c r="W123" i="6"/>
  <c r="V123" i="6"/>
  <c r="U123" i="6"/>
  <c r="T123" i="6"/>
  <c r="S123" i="6"/>
  <c r="R123" i="6"/>
  <c r="Q123" i="6"/>
  <c r="P123" i="6"/>
  <c r="O123" i="6"/>
  <c r="N123" i="6"/>
  <c r="M123" i="6"/>
  <c r="J123" i="6"/>
  <c r="I123" i="6"/>
  <c r="H123" i="6"/>
  <c r="G123" i="6"/>
  <c r="F123" i="6"/>
  <c r="E123" i="6"/>
  <c r="D123" i="6"/>
  <c r="C123" i="6"/>
  <c r="B123" i="6"/>
  <c r="A123" i="6"/>
  <c r="Y122" i="6"/>
  <c r="X122" i="6"/>
  <c r="W122" i="6"/>
  <c r="V122" i="6"/>
  <c r="U122" i="6"/>
  <c r="T122" i="6"/>
  <c r="S122" i="6"/>
  <c r="R122" i="6"/>
  <c r="Q122" i="6"/>
  <c r="P122" i="6"/>
  <c r="O122" i="6"/>
  <c r="N122" i="6"/>
  <c r="M122" i="6"/>
  <c r="J122" i="6"/>
  <c r="I122" i="6"/>
  <c r="H122" i="6"/>
  <c r="G122" i="6"/>
  <c r="F122" i="6"/>
  <c r="E122" i="6"/>
  <c r="D122" i="6"/>
  <c r="C122" i="6"/>
  <c r="B122" i="6"/>
  <c r="A122" i="6"/>
  <c r="Y121" i="6"/>
  <c r="X121" i="6"/>
  <c r="W121" i="6"/>
  <c r="V121" i="6"/>
  <c r="U121" i="6"/>
  <c r="T121" i="6"/>
  <c r="S121" i="6"/>
  <c r="R121" i="6"/>
  <c r="Q121" i="6"/>
  <c r="P121" i="6"/>
  <c r="O121" i="6"/>
  <c r="N121" i="6"/>
  <c r="M121" i="6"/>
  <c r="J121" i="6"/>
  <c r="I121" i="6"/>
  <c r="H121" i="6"/>
  <c r="G121" i="6"/>
  <c r="F121" i="6"/>
  <c r="E121" i="6"/>
  <c r="D121" i="6"/>
  <c r="C121" i="6"/>
  <c r="B121" i="6"/>
  <c r="A121" i="6"/>
  <c r="Y120" i="6"/>
  <c r="X120" i="6"/>
  <c r="W120" i="6"/>
  <c r="V120" i="6"/>
  <c r="U120" i="6"/>
  <c r="T120" i="6"/>
  <c r="S120" i="6"/>
  <c r="R120" i="6"/>
  <c r="Q120" i="6"/>
  <c r="P120" i="6"/>
  <c r="O120" i="6"/>
  <c r="N120" i="6"/>
  <c r="M120" i="6"/>
  <c r="J120" i="6"/>
  <c r="I120" i="6"/>
  <c r="H120" i="6"/>
  <c r="G120" i="6"/>
  <c r="F120" i="6"/>
  <c r="E120" i="6"/>
  <c r="D120" i="6"/>
  <c r="C120" i="6"/>
  <c r="B120" i="6"/>
  <c r="A120" i="6"/>
  <c r="Y119" i="6"/>
  <c r="X119" i="6"/>
  <c r="W119" i="6"/>
  <c r="V119" i="6"/>
  <c r="U119" i="6"/>
  <c r="T119" i="6"/>
  <c r="S119" i="6"/>
  <c r="R119" i="6"/>
  <c r="Q119" i="6"/>
  <c r="P119" i="6"/>
  <c r="O119" i="6"/>
  <c r="N119" i="6"/>
  <c r="M119" i="6"/>
  <c r="J119" i="6"/>
  <c r="I119" i="6"/>
  <c r="H119" i="6"/>
  <c r="G119" i="6"/>
  <c r="F119" i="6"/>
  <c r="E119" i="6"/>
  <c r="D119" i="6"/>
  <c r="C119" i="6"/>
  <c r="B119" i="6"/>
  <c r="A119" i="6"/>
  <c r="Y118" i="6"/>
  <c r="X118" i="6"/>
  <c r="W118" i="6"/>
  <c r="V118" i="6"/>
  <c r="U118" i="6"/>
  <c r="T118" i="6"/>
  <c r="S118" i="6"/>
  <c r="R118" i="6"/>
  <c r="Q118" i="6"/>
  <c r="P118" i="6"/>
  <c r="O118" i="6"/>
  <c r="N118" i="6"/>
  <c r="M118" i="6"/>
  <c r="J118" i="6"/>
  <c r="I118" i="6"/>
  <c r="H118" i="6"/>
  <c r="G118" i="6"/>
  <c r="F118" i="6"/>
  <c r="E118" i="6"/>
  <c r="D118" i="6"/>
  <c r="C118" i="6"/>
  <c r="B118" i="6"/>
  <c r="A118" i="6"/>
  <c r="Y117" i="6"/>
  <c r="X117" i="6"/>
  <c r="W117" i="6"/>
  <c r="V117" i="6"/>
  <c r="U117" i="6"/>
  <c r="T117" i="6"/>
  <c r="S117" i="6"/>
  <c r="R117" i="6"/>
  <c r="Q117" i="6"/>
  <c r="P117" i="6"/>
  <c r="O117" i="6"/>
  <c r="N117" i="6"/>
  <c r="M117" i="6"/>
  <c r="J117" i="6"/>
  <c r="I117" i="6"/>
  <c r="H117" i="6"/>
  <c r="G117" i="6"/>
  <c r="F117" i="6"/>
  <c r="E117" i="6"/>
  <c r="D117" i="6"/>
  <c r="C117" i="6"/>
  <c r="B117" i="6"/>
  <c r="A117" i="6"/>
  <c r="Y116" i="6"/>
  <c r="X116" i="6"/>
  <c r="W116" i="6"/>
  <c r="V116" i="6"/>
  <c r="U116" i="6"/>
  <c r="T116" i="6"/>
  <c r="S116" i="6"/>
  <c r="R116" i="6"/>
  <c r="Q116" i="6"/>
  <c r="P116" i="6"/>
  <c r="O116" i="6"/>
  <c r="N116" i="6"/>
  <c r="M116" i="6"/>
  <c r="J116" i="6"/>
  <c r="I116" i="6"/>
  <c r="H116" i="6"/>
  <c r="G116" i="6"/>
  <c r="F116" i="6"/>
  <c r="E116" i="6"/>
  <c r="D116" i="6"/>
  <c r="C116" i="6"/>
  <c r="B116" i="6"/>
  <c r="A116" i="6"/>
  <c r="Y115" i="6"/>
  <c r="X115" i="6"/>
  <c r="W115" i="6"/>
  <c r="V115" i="6"/>
  <c r="U115" i="6"/>
  <c r="T115" i="6"/>
  <c r="S115" i="6"/>
  <c r="R115" i="6"/>
  <c r="P115" i="6"/>
  <c r="O115" i="6"/>
  <c r="N115" i="6"/>
  <c r="M115" i="6"/>
  <c r="L115" i="6"/>
  <c r="J115" i="6"/>
  <c r="I115" i="6"/>
  <c r="H115" i="6"/>
  <c r="G115" i="6"/>
  <c r="F115" i="6"/>
  <c r="E115" i="6"/>
  <c r="D115" i="6"/>
  <c r="C115" i="6"/>
  <c r="B115" i="6"/>
  <c r="A115" i="6"/>
  <c r="Y114" i="6"/>
  <c r="X114" i="6"/>
  <c r="W114" i="6"/>
  <c r="V114" i="6"/>
  <c r="U114" i="6"/>
  <c r="T114" i="6"/>
  <c r="S114" i="6"/>
  <c r="R114" i="6"/>
  <c r="Q114" i="6"/>
  <c r="P114" i="6"/>
  <c r="O114" i="6"/>
  <c r="N114" i="6"/>
  <c r="M114" i="6"/>
  <c r="J114" i="6"/>
  <c r="I114" i="6"/>
  <c r="H114" i="6"/>
  <c r="G114" i="6"/>
  <c r="F114" i="6"/>
  <c r="E114" i="6"/>
  <c r="D114" i="6"/>
  <c r="C114" i="6"/>
  <c r="B114" i="6"/>
  <c r="A114" i="6"/>
  <c r="Y113" i="6"/>
  <c r="X113" i="6"/>
  <c r="W113" i="6"/>
  <c r="V113" i="6"/>
  <c r="U113" i="6"/>
  <c r="T113" i="6"/>
  <c r="S113" i="6"/>
  <c r="R113" i="6"/>
  <c r="Q113" i="6"/>
  <c r="P113" i="6"/>
  <c r="O113" i="6"/>
  <c r="N113" i="6"/>
  <c r="M113" i="6"/>
  <c r="L113" i="6"/>
  <c r="J113" i="6"/>
  <c r="I113" i="6"/>
  <c r="H113" i="6"/>
  <c r="G113" i="6"/>
  <c r="F113" i="6"/>
  <c r="E113" i="6"/>
  <c r="D113" i="6"/>
  <c r="C113" i="6"/>
  <c r="B113" i="6"/>
  <c r="A113" i="6"/>
  <c r="Y112" i="6"/>
  <c r="X112" i="6"/>
  <c r="W112" i="6"/>
  <c r="V112" i="6"/>
  <c r="U112" i="6"/>
  <c r="T112" i="6"/>
  <c r="S112" i="6"/>
  <c r="R112" i="6"/>
  <c r="Q112" i="6"/>
  <c r="P112" i="6"/>
  <c r="O112" i="6"/>
  <c r="N112" i="6"/>
  <c r="M112" i="6"/>
  <c r="J112" i="6"/>
  <c r="I112" i="6"/>
  <c r="H112" i="6"/>
  <c r="G112" i="6"/>
  <c r="F112" i="6"/>
  <c r="E112" i="6"/>
  <c r="D112" i="6"/>
  <c r="C112" i="6"/>
  <c r="B112" i="6"/>
  <c r="A112" i="6"/>
  <c r="Y111" i="6"/>
  <c r="X111" i="6"/>
  <c r="W111" i="6"/>
  <c r="V111" i="6"/>
  <c r="U111" i="6"/>
  <c r="T111" i="6"/>
  <c r="S111" i="6"/>
  <c r="R111" i="6"/>
  <c r="Q111" i="6"/>
  <c r="P111" i="6"/>
  <c r="O111" i="6"/>
  <c r="N111" i="6"/>
  <c r="M111" i="6"/>
  <c r="J111" i="6"/>
  <c r="I111" i="6"/>
  <c r="H111" i="6"/>
  <c r="G111" i="6"/>
  <c r="F111" i="6"/>
  <c r="E111" i="6"/>
  <c r="D111" i="6"/>
  <c r="C111" i="6"/>
  <c r="B111" i="6"/>
  <c r="A111" i="6"/>
  <c r="Y110" i="6"/>
  <c r="X110" i="6"/>
  <c r="W110" i="6"/>
  <c r="V110" i="6"/>
  <c r="U110" i="6"/>
  <c r="T110" i="6"/>
  <c r="S110" i="6"/>
  <c r="R110" i="6"/>
  <c r="Q110" i="6"/>
  <c r="P110" i="6"/>
  <c r="O110" i="6"/>
  <c r="N110" i="6"/>
  <c r="M110" i="6"/>
  <c r="J110" i="6"/>
  <c r="I110" i="6"/>
  <c r="H110" i="6"/>
  <c r="G110" i="6"/>
  <c r="F110" i="6"/>
  <c r="E110" i="6"/>
  <c r="D110" i="6"/>
  <c r="C110" i="6"/>
  <c r="B110" i="6"/>
  <c r="A110" i="6"/>
  <c r="Y109" i="6"/>
  <c r="X109" i="6"/>
  <c r="W109" i="6"/>
  <c r="V109" i="6"/>
  <c r="U109" i="6"/>
  <c r="T109" i="6"/>
  <c r="S109" i="6"/>
  <c r="R109" i="6"/>
  <c r="P109" i="6"/>
  <c r="O109" i="6"/>
  <c r="N109" i="6"/>
  <c r="M109" i="6"/>
  <c r="L109" i="6"/>
  <c r="J109" i="6"/>
  <c r="I109" i="6"/>
  <c r="H109" i="6"/>
  <c r="G109" i="6"/>
  <c r="F109" i="6"/>
  <c r="E109" i="6"/>
  <c r="D109" i="6"/>
  <c r="C109" i="6"/>
  <c r="B109" i="6"/>
  <c r="A109" i="6"/>
  <c r="Y108" i="6"/>
  <c r="X108" i="6"/>
  <c r="W108" i="6"/>
  <c r="V108" i="6"/>
  <c r="U108" i="6"/>
  <c r="T108" i="6"/>
  <c r="S108" i="6"/>
  <c r="R108" i="6"/>
  <c r="P108" i="6"/>
  <c r="O108" i="6"/>
  <c r="N108" i="6"/>
  <c r="M108" i="6"/>
  <c r="L108" i="6"/>
  <c r="K108" i="6"/>
  <c r="J108" i="6"/>
  <c r="I108" i="6"/>
  <c r="H108" i="6"/>
  <c r="G108" i="6"/>
  <c r="F108" i="6"/>
  <c r="E108" i="6"/>
  <c r="D108" i="6"/>
  <c r="C108" i="6"/>
  <c r="B108" i="6"/>
  <c r="A108" i="6"/>
  <c r="Y107" i="6"/>
  <c r="X107" i="6"/>
  <c r="W107" i="6"/>
  <c r="V107" i="6"/>
  <c r="U107" i="6"/>
  <c r="T107" i="6"/>
  <c r="S107" i="6"/>
  <c r="R107" i="6"/>
  <c r="Q107" i="6"/>
  <c r="P107" i="6"/>
  <c r="O107" i="6"/>
  <c r="N107" i="6"/>
  <c r="M107" i="6"/>
  <c r="J107" i="6"/>
  <c r="I107" i="6"/>
  <c r="H107" i="6"/>
  <c r="G107" i="6"/>
  <c r="F107" i="6"/>
  <c r="E107" i="6"/>
  <c r="D107" i="6"/>
  <c r="C107" i="6"/>
  <c r="B107" i="6"/>
  <c r="A107" i="6"/>
  <c r="Y106" i="6"/>
  <c r="X106" i="6"/>
  <c r="W106" i="6"/>
  <c r="V106" i="6"/>
  <c r="U106" i="6"/>
  <c r="T106" i="6"/>
  <c r="S106" i="6"/>
  <c r="R106" i="6"/>
  <c r="Q106" i="6"/>
  <c r="P106" i="6"/>
  <c r="O106" i="6"/>
  <c r="N106" i="6"/>
  <c r="M106" i="6"/>
  <c r="L106" i="6"/>
  <c r="J106" i="6"/>
  <c r="I106" i="6"/>
  <c r="H106" i="6"/>
  <c r="G106" i="6"/>
  <c r="F106" i="6"/>
  <c r="E106" i="6"/>
  <c r="D106" i="6"/>
  <c r="C106" i="6"/>
  <c r="B106" i="6"/>
  <c r="A106" i="6"/>
  <c r="Y105" i="6"/>
  <c r="X105" i="6"/>
  <c r="W105" i="6"/>
  <c r="V105" i="6"/>
  <c r="U105" i="6"/>
  <c r="T105" i="6"/>
  <c r="S105" i="6"/>
  <c r="R105" i="6"/>
  <c r="Q105" i="6"/>
  <c r="P105" i="6"/>
  <c r="O105" i="6"/>
  <c r="N105" i="6"/>
  <c r="M105" i="6"/>
  <c r="L105" i="6"/>
  <c r="J105" i="6"/>
  <c r="I105" i="6"/>
  <c r="H105" i="6"/>
  <c r="G105" i="6"/>
  <c r="F105" i="6"/>
  <c r="E105" i="6"/>
  <c r="D105" i="6"/>
  <c r="C105" i="6"/>
  <c r="B105" i="6"/>
  <c r="A105" i="6"/>
  <c r="Y104" i="6"/>
  <c r="X104" i="6"/>
  <c r="W104" i="6"/>
  <c r="V104" i="6"/>
  <c r="U104" i="6"/>
  <c r="T104" i="6"/>
  <c r="S104" i="6"/>
  <c r="R104" i="6"/>
  <c r="Q104" i="6"/>
  <c r="P104" i="6"/>
  <c r="O104" i="6"/>
  <c r="N104" i="6"/>
  <c r="M104" i="6"/>
  <c r="L104" i="6"/>
  <c r="K104" i="6"/>
  <c r="J104" i="6"/>
  <c r="I104" i="6"/>
  <c r="H104" i="6"/>
  <c r="G104" i="6"/>
  <c r="F104" i="6"/>
  <c r="E104" i="6"/>
  <c r="D104" i="6"/>
  <c r="C104" i="6"/>
  <c r="B104" i="6"/>
  <c r="A104" i="6"/>
  <c r="Y103" i="6"/>
  <c r="X103" i="6"/>
  <c r="W103" i="6"/>
  <c r="V103" i="6"/>
  <c r="U103" i="6"/>
  <c r="T103" i="6"/>
  <c r="S103" i="6"/>
  <c r="R103" i="6"/>
  <c r="Q103" i="6"/>
  <c r="P103" i="6"/>
  <c r="O103" i="6"/>
  <c r="N103" i="6"/>
  <c r="M103" i="6"/>
  <c r="L103" i="6"/>
  <c r="K103" i="6"/>
  <c r="J103" i="6"/>
  <c r="I103" i="6"/>
  <c r="H103" i="6"/>
  <c r="G103" i="6"/>
  <c r="F103" i="6"/>
  <c r="E103" i="6"/>
  <c r="D103" i="6"/>
  <c r="C103" i="6"/>
  <c r="B103" i="6"/>
  <c r="A103" i="6"/>
  <c r="Y102" i="6"/>
  <c r="X102" i="6"/>
  <c r="W102" i="6"/>
  <c r="V102" i="6"/>
  <c r="U102" i="6"/>
  <c r="T102" i="6"/>
  <c r="S102" i="6"/>
  <c r="R102" i="6"/>
  <c r="Q102" i="6"/>
  <c r="P102" i="6"/>
  <c r="O102" i="6"/>
  <c r="N102" i="6"/>
  <c r="M102" i="6"/>
  <c r="L102" i="6"/>
  <c r="J102" i="6"/>
  <c r="I102" i="6"/>
  <c r="H102" i="6"/>
  <c r="G102" i="6"/>
  <c r="F102" i="6"/>
  <c r="E102" i="6"/>
  <c r="D102" i="6"/>
  <c r="C102" i="6"/>
  <c r="B102" i="6"/>
  <c r="A102" i="6"/>
  <c r="Y101" i="6"/>
  <c r="X101" i="6"/>
  <c r="W101" i="6"/>
  <c r="V101" i="6"/>
  <c r="U101" i="6"/>
  <c r="T101" i="6"/>
  <c r="S101" i="6"/>
  <c r="R101" i="6"/>
  <c r="P101" i="6"/>
  <c r="O101" i="6"/>
  <c r="N101" i="6"/>
  <c r="M101" i="6"/>
  <c r="L101" i="6"/>
  <c r="J101" i="6"/>
  <c r="I101" i="6"/>
  <c r="H101" i="6"/>
  <c r="G101" i="6"/>
  <c r="F101" i="6"/>
  <c r="E101" i="6"/>
  <c r="D101" i="6"/>
  <c r="C101" i="6"/>
  <c r="B101" i="6"/>
  <c r="A101" i="6"/>
  <c r="Y100" i="6"/>
  <c r="X100" i="6"/>
  <c r="W100" i="6"/>
  <c r="V100" i="6"/>
  <c r="U100" i="6"/>
  <c r="T100" i="6"/>
  <c r="S100" i="6"/>
  <c r="R100" i="6"/>
  <c r="Q100" i="6"/>
  <c r="P100" i="6"/>
  <c r="O100" i="6"/>
  <c r="N100" i="6"/>
  <c r="M100" i="6"/>
  <c r="L100" i="6"/>
  <c r="J100" i="6"/>
  <c r="I100" i="6"/>
  <c r="H100" i="6"/>
  <c r="G100" i="6"/>
  <c r="F100" i="6"/>
  <c r="E100" i="6"/>
  <c r="D100" i="6"/>
  <c r="C100" i="6"/>
  <c r="B100" i="6"/>
  <c r="A100" i="6"/>
  <c r="Y99" i="6"/>
  <c r="X99" i="6"/>
  <c r="W99" i="6"/>
  <c r="V99" i="6"/>
  <c r="U99" i="6"/>
  <c r="T99" i="6"/>
  <c r="S99" i="6"/>
  <c r="R99" i="6"/>
  <c r="Q99" i="6"/>
  <c r="P99" i="6"/>
  <c r="O99" i="6"/>
  <c r="N99" i="6"/>
  <c r="M99" i="6"/>
  <c r="L99" i="6"/>
  <c r="K99" i="6"/>
  <c r="J99" i="6"/>
  <c r="I99" i="6"/>
  <c r="H99" i="6"/>
  <c r="G99" i="6"/>
  <c r="F99" i="6"/>
  <c r="E99" i="6"/>
  <c r="D99" i="6"/>
  <c r="C99" i="6"/>
  <c r="B99" i="6"/>
  <c r="A99" i="6"/>
  <c r="Y98" i="6"/>
  <c r="X98" i="6"/>
  <c r="W98" i="6"/>
  <c r="V98" i="6"/>
  <c r="U98" i="6"/>
  <c r="T98" i="6"/>
  <c r="S98" i="6"/>
  <c r="R98" i="6"/>
  <c r="Q98" i="6"/>
  <c r="P98" i="6"/>
  <c r="O98" i="6"/>
  <c r="N98" i="6"/>
  <c r="M98" i="6"/>
  <c r="J98" i="6"/>
  <c r="I98" i="6"/>
  <c r="H98" i="6"/>
  <c r="G98" i="6"/>
  <c r="F98" i="6"/>
  <c r="E98" i="6"/>
  <c r="D98" i="6"/>
  <c r="C98" i="6"/>
  <c r="B98" i="6"/>
  <c r="A98" i="6"/>
  <c r="Y97" i="6"/>
  <c r="X97" i="6"/>
  <c r="W97" i="6"/>
  <c r="V97" i="6"/>
  <c r="U97" i="6"/>
  <c r="T97" i="6"/>
  <c r="S97" i="6"/>
  <c r="R97" i="6"/>
  <c r="Q97" i="6"/>
  <c r="P97" i="6"/>
  <c r="O97" i="6"/>
  <c r="N97" i="6"/>
  <c r="M97" i="6"/>
  <c r="J97" i="6"/>
  <c r="I97" i="6"/>
  <c r="H97" i="6"/>
  <c r="G97" i="6"/>
  <c r="F97" i="6"/>
  <c r="E97" i="6"/>
  <c r="D97" i="6"/>
  <c r="C97" i="6"/>
  <c r="B97" i="6"/>
  <c r="A97" i="6"/>
  <c r="Y96" i="6"/>
  <c r="X96" i="6"/>
  <c r="W96" i="6"/>
  <c r="V96" i="6"/>
  <c r="U96" i="6"/>
  <c r="T96" i="6"/>
  <c r="S96" i="6"/>
  <c r="R96" i="6"/>
  <c r="Q96" i="6"/>
  <c r="P96" i="6"/>
  <c r="O96" i="6"/>
  <c r="N96" i="6"/>
  <c r="M96" i="6"/>
  <c r="J96" i="6"/>
  <c r="I96" i="6"/>
  <c r="H96" i="6"/>
  <c r="G96" i="6"/>
  <c r="F96" i="6"/>
  <c r="E96" i="6"/>
  <c r="D96" i="6"/>
  <c r="C96" i="6"/>
  <c r="B96" i="6"/>
  <c r="A96" i="6"/>
  <c r="Y95" i="6"/>
  <c r="X95" i="6"/>
  <c r="W95" i="6"/>
  <c r="V95" i="6"/>
  <c r="U95" i="6"/>
  <c r="T95" i="6"/>
  <c r="S95" i="6"/>
  <c r="R95" i="6"/>
  <c r="P95" i="6"/>
  <c r="O95" i="6"/>
  <c r="N95" i="6"/>
  <c r="M95" i="6"/>
  <c r="J95" i="6"/>
  <c r="I95" i="6"/>
  <c r="H95" i="6"/>
  <c r="G95" i="6"/>
  <c r="F95" i="6"/>
  <c r="E95" i="6"/>
  <c r="D95" i="6"/>
  <c r="C95" i="6"/>
  <c r="B95" i="6"/>
  <c r="A95" i="6"/>
  <c r="Y94" i="6"/>
  <c r="X94" i="6"/>
  <c r="W94" i="6"/>
  <c r="V94" i="6"/>
  <c r="U94" i="6"/>
  <c r="T94" i="6"/>
  <c r="S94" i="6"/>
  <c r="R94" i="6"/>
  <c r="Q94" i="6"/>
  <c r="P94" i="6"/>
  <c r="O94" i="6"/>
  <c r="N94" i="6"/>
  <c r="M94" i="6"/>
  <c r="J94" i="6"/>
  <c r="I94" i="6"/>
  <c r="H94" i="6"/>
  <c r="G94" i="6"/>
  <c r="F94" i="6"/>
  <c r="E94" i="6"/>
  <c r="D94" i="6"/>
  <c r="C94" i="6"/>
  <c r="B94" i="6"/>
  <c r="A94" i="6"/>
  <c r="Y93" i="6"/>
  <c r="X93" i="6"/>
  <c r="W93" i="6"/>
  <c r="V93" i="6"/>
  <c r="U93" i="6"/>
  <c r="T93" i="6"/>
  <c r="S93" i="6"/>
  <c r="R93" i="6"/>
  <c r="Q93" i="6"/>
  <c r="P93" i="6"/>
  <c r="O93" i="6"/>
  <c r="N93" i="6"/>
  <c r="M93" i="6"/>
  <c r="J93" i="6"/>
  <c r="I93" i="6"/>
  <c r="H93" i="6"/>
  <c r="G93" i="6"/>
  <c r="F93" i="6"/>
  <c r="E93" i="6"/>
  <c r="D93" i="6"/>
  <c r="C93" i="6"/>
  <c r="B93" i="6"/>
  <c r="A93" i="6"/>
  <c r="Y92" i="6"/>
  <c r="X92" i="6"/>
  <c r="W92" i="6"/>
  <c r="V92" i="6"/>
  <c r="U92" i="6"/>
  <c r="T92" i="6"/>
  <c r="S92" i="6"/>
  <c r="R92" i="6"/>
  <c r="Q92" i="6"/>
  <c r="P92" i="6"/>
  <c r="O92" i="6"/>
  <c r="N92" i="6"/>
  <c r="M92" i="6"/>
  <c r="L92" i="6"/>
  <c r="K92" i="6"/>
  <c r="J92" i="6"/>
  <c r="I92" i="6"/>
  <c r="H92" i="6"/>
  <c r="G92" i="6"/>
  <c r="F92" i="6"/>
  <c r="E92" i="6"/>
  <c r="D92" i="6"/>
  <c r="C92" i="6"/>
  <c r="B92" i="6"/>
  <c r="A92" i="6"/>
  <c r="Y91" i="6"/>
  <c r="X91" i="6"/>
  <c r="W91" i="6"/>
  <c r="V91" i="6"/>
  <c r="U91" i="6"/>
  <c r="T91" i="6"/>
  <c r="S91" i="6"/>
  <c r="R91" i="6"/>
  <c r="Q91" i="6"/>
  <c r="P91" i="6"/>
  <c r="O91" i="6"/>
  <c r="N91" i="6"/>
  <c r="M91" i="6"/>
  <c r="L91" i="6"/>
  <c r="K91" i="6"/>
  <c r="J91" i="6"/>
  <c r="I91" i="6"/>
  <c r="H91" i="6"/>
  <c r="G91" i="6"/>
  <c r="F91" i="6"/>
  <c r="E91" i="6"/>
  <c r="D91" i="6"/>
  <c r="C91" i="6"/>
  <c r="B91" i="6"/>
  <c r="A91" i="6"/>
  <c r="Y90" i="6"/>
  <c r="X90" i="6"/>
  <c r="W90" i="6"/>
  <c r="V90" i="6"/>
  <c r="U90" i="6"/>
  <c r="T90" i="6"/>
  <c r="S90" i="6"/>
  <c r="R90" i="6"/>
  <c r="Q90" i="6"/>
  <c r="P90" i="6"/>
  <c r="O90" i="6"/>
  <c r="N90" i="6"/>
  <c r="M90" i="6"/>
  <c r="J90" i="6"/>
  <c r="I90" i="6"/>
  <c r="H90" i="6"/>
  <c r="G90" i="6"/>
  <c r="F90" i="6"/>
  <c r="E90" i="6"/>
  <c r="D90" i="6"/>
  <c r="C90" i="6"/>
  <c r="B90" i="6"/>
  <c r="A90" i="6"/>
  <c r="Y89" i="6"/>
  <c r="X89" i="6"/>
  <c r="W89" i="6"/>
  <c r="V89" i="6"/>
  <c r="U89" i="6"/>
  <c r="T89" i="6"/>
  <c r="S89" i="6"/>
  <c r="R89" i="6"/>
  <c r="Q89" i="6"/>
  <c r="P89" i="6"/>
  <c r="O89" i="6"/>
  <c r="N89" i="6"/>
  <c r="M89" i="6"/>
  <c r="L89" i="6"/>
  <c r="J89" i="6"/>
  <c r="I89" i="6"/>
  <c r="H89" i="6"/>
  <c r="G89" i="6"/>
  <c r="F89" i="6"/>
  <c r="E89" i="6"/>
  <c r="D89" i="6"/>
  <c r="C89" i="6"/>
  <c r="B89" i="6"/>
  <c r="A89" i="6"/>
  <c r="Y88" i="6"/>
  <c r="X88" i="6"/>
  <c r="W88" i="6"/>
  <c r="V88" i="6"/>
  <c r="U88" i="6"/>
  <c r="T88" i="6"/>
  <c r="S88" i="6"/>
  <c r="R88" i="6"/>
  <c r="Q88" i="6"/>
  <c r="P88" i="6"/>
  <c r="O88" i="6"/>
  <c r="N88" i="6"/>
  <c r="M88" i="6"/>
  <c r="L88" i="6"/>
  <c r="K88" i="6"/>
  <c r="J88" i="6"/>
  <c r="I88" i="6"/>
  <c r="H88" i="6"/>
  <c r="G88" i="6"/>
  <c r="F88" i="6"/>
  <c r="E88" i="6"/>
  <c r="D88" i="6"/>
  <c r="C88" i="6"/>
  <c r="B88" i="6"/>
  <c r="A88" i="6"/>
  <c r="Y87" i="6"/>
  <c r="X87" i="6"/>
  <c r="W87" i="6"/>
  <c r="V87" i="6"/>
  <c r="U87" i="6"/>
  <c r="T87" i="6"/>
  <c r="S87" i="6"/>
  <c r="R87" i="6"/>
  <c r="P87" i="6"/>
  <c r="O87" i="6"/>
  <c r="N87" i="6"/>
  <c r="M87" i="6"/>
  <c r="J87" i="6"/>
  <c r="I87" i="6"/>
  <c r="H87" i="6"/>
  <c r="G87" i="6"/>
  <c r="F87" i="6"/>
  <c r="E87" i="6"/>
  <c r="D87" i="6"/>
  <c r="C87" i="6"/>
  <c r="B87" i="6"/>
  <c r="A87" i="6"/>
  <c r="Y86" i="6"/>
  <c r="X86" i="6"/>
  <c r="W86" i="6"/>
  <c r="V86" i="6"/>
  <c r="U86" i="6"/>
  <c r="T86" i="6"/>
  <c r="S86" i="6"/>
  <c r="R86" i="6"/>
  <c r="Q86" i="6"/>
  <c r="P86" i="6"/>
  <c r="O86" i="6"/>
  <c r="N86" i="6"/>
  <c r="M86" i="6"/>
  <c r="L86" i="6"/>
  <c r="J86" i="6"/>
  <c r="I86" i="6"/>
  <c r="H86" i="6"/>
  <c r="G86" i="6"/>
  <c r="F86" i="6"/>
  <c r="E86" i="6"/>
  <c r="D86" i="6"/>
  <c r="C86" i="6"/>
  <c r="B86" i="6"/>
  <c r="A86" i="6"/>
  <c r="Y85" i="6"/>
  <c r="X85" i="6"/>
  <c r="W85" i="6"/>
  <c r="V85" i="6"/>
  <c r="U85" i="6"/>
  <c r="T85" i="6"/>
  <c r="S85" i="6"/>
  <c r="R85" i="6"/>
  <c r="Q85" i="6"/>
  <c r="P85" i="6"/>
  <c r="O85" i="6"/>
  <c r="N85" i="6"/>
  <c r="M85" i="6"/>
  <c r="J85" i="6"/>
  <c r="I85" i="6"/>
  <c r="H85" i="6"/>
  <c r="G85" i="6"/>
  <c r="F85" i="6"/>
  <c r="E85" i="6"/>
  <c r="D85" i="6"/>
  <c r="C85" i="6"/>
  <c r="B85" i="6"/>
  <c r="A85" i="6"/>
  <c r="Y84" i="6"/>
  <c r="X84" i="6"/>
  <c r="W84" i="6"/>
  <c r="V84" i="6"/>
  <c r="U84" i="6"/>
  <c r="T84" i="6"/>
  <c r="S84" i="6"/>
  <c r="R84" i="6"/>
  <c r="Q84" i="6"/>
  <c r="P84" i="6"/>
  <c r="O84" i="6"/>
  <c r="N84" i="6"/>
  <c r="M84" i="6"/>
  <c r="L84" i="6"/>
  <c r="J84" i="6"/>
  <c r="I84" i="6"/>
  <c r="H84" i="6"/>
  <c r="G84" i="6"/>
  <c r="F84" i="6"/>
  <c r="E84" i="6"/>
  <c r="D84" i="6"/>
  <c r="C84" i="6"/>
  <c r="B84" i="6"/>
  <c r="A84" i="6"/>
  <c r="Y83" i="6"/>
  <c r="X83" i="6"/>
  <c r="W83" i="6"/>
  <c r="V83" i="6"/>
  <c r="U83" i="6"/>
  <c r="T83" i="6"/>
  <c r="S83" i="6"/>
  <c r="R83" i="6"/>
  <c r="P83" i="6"/>
  <c r="O83" i="6"/>
  <c r="N83" i="6"/>
  <c r="M83" i="6"/>
  <c r="J83" i="6"/>
  <c r="I83" i="6"/>
  <c r="H83" i="6"/>
  <c r="G83" i="6"/>
  <c r="F83" i="6"/>
  <c r="E83" i="6"/>
  <c r="D83" i="6"/>
  <c r="C83" i="6"/>
  <c r="B83" i="6"/>
  <c r="A83" i="6"/>
  <c r="Y82" i="6"/>
  <c r="X82" i="6"/>
  <c r="W82" i="6"/>
  <c r="V82" i="6"/>
  <c r="U82" i="6"/>
  <c r="T82" i="6"/>
  <c r="S82" i="6"/>
  <c r="R82" i="6"/>
  <c r="Q82" i="6"/>
  <c r="P82" i="6"/>
  <c r="O82" i="6"/>
  <c r="N82" i="6"/>
  <c r="M82" i="6"/>
  <c r="K82" i="6"/>
  <c r="J82" i="6"/>
  <c r="I82" i="6"/>
  <c r="H82" i="6"/>
  <c r="G82" i="6"/>
  <c r="F82" i="6"/>
  <c r="E82" i="6"/>
  <c r="D82" i="6"/>
  <c r="C82" i="6"/>
  <c r="B82" i="6"/>
  <c r="A82" i="6"/>
  <c r="Y81" i="6"/>
  <c r="X81" i="6"/>
  <c r="W81" i="6"/>
  <c r="V81" i="6"/>
  <c r="U81" i="6"/>
  <c r="T81" i="6"/>
  <c r="S81" i="6"/>
  <c r="R81" i="6"/>
  <c r="Q81" i="6"/>
  <c r="P81" i="6"/>
  <c r="O81" i="6"/>
  <c r="N81" i="6"/>
  <c r="M81" i="6"/>
  <c r="K81" i="6"/>
  <c r="J81" i="6"/>
  <c r="I81" i="6"/>
  <c r="H81" i="6"/>
  <c r="G81" i="6"/>
  <c r="F81" i="6"/>
  <c r="E81" i="6"/>
  <c r="D81" i="6"/>
  <c r="C81" i="6"/>
  <c r="B81" i="6"/>
  <c r="A81" i="6"/>
  <c r="Y80" i="6"/>
  <c r="X80" i="6"/>
  <c r="W80" i="6"/>
  <c r="V80" i="6"/>
  <c r="U80" i="6"/>
  <c r="T80" i="6"/>
  <c r="S80" i="6"/>
  <c r="R80" i="6"/>
  <c r="Q80" i="6"/>
  <c r="P80" i="6"/>
  <c r="O80" i="6"/>
  <c r="N80" i="6"/>
  <c r="M80" i="6"/>
  <c r="J80" i="6"/>
  <c r="I80" i="6"/>
  <c r="H80" i="6"/>
  <c r="G80" i="6"/>
  <c r="F80" i="6"/>
  <c r="E80" i="6"/>
  <c r="D80" i="6"/>
  <c r="C80" i="6"/>
  <c r="B80" i="6"/>
  <c r="A80" i="6"/>
  <c r="Y79" i="6"/>
  <c r="X79" i="6"/>
  <c r="W79" i="6"/>
  <c r="V79" i="6"/>
  <c r="U79" i="6"/>
  <c r="T79" i="6"/>
  <c r="S79" i="6"/>
  <c r="R79" i="6"/>
  <c r="Q79" i="6"/>
  <c r="P79" i="6"/>
  <c r="O79" i="6"/>
  <c r="N79" i="6"/>
  <c r="M79" i="6"/>
  <c r="L79" i="6"/>
  <c r="J79" i="6"/>
  <c r="I79" i="6"/>
  <c r="H79" i="6"/>
  <c r="G79" i="6"/>
  <c r="F79" i="6"/>
  <c r="E79" i="6"/>
  <c r="D79" i="6"/>
  <c r="C79" i="6"/>
  <c r="B79" i="6"/>
  <c r="A79" i="6"/>
  <c r="Y78" i="6"/>
  <c r="X78" i="6"/>
  <c r="W78" i="6"/>
  <c r="V78" i="6"/>
  <c r="U78" i="6"/>
  <c r="T78" i="6"/>
  <c r="S78" i="6"/>
  <c r="R78" i="6"/>
  <c r="P78" i="6"/>
  <c r="O78" i="6"/>
  <c r="N78" i="6"/>
  <c r="M78" i="6"/>
  <c r="J78" i="6"/>
  <c r="I78" i="6"/>
  <c r="H78" i="6"/>
  <c r="G78" i="6"/>
  <c r="F78" i="6"/>
  <c r="E78" i="6"/>
  <c r="D78" i="6"/>
  <c r="C78" i="6"/>
  <c r="B78" i="6"/>
  <c r="A78" i="6"/>
  <c r="Y77" i="6"/>
  <c r="X77" i="6"/>
  <c r="W77" i="6"/>
  <c r="V77" i="6"/>
  <c r="U77" i="6"/>
  <c r="T77" i="6"/>
  <c r="S77" i="6"/>
  <c r="R77" i="6"/>
  <c r="Q77" i="6"/>
  <c r="P77" i="6"/>
  <c r="O77" i="6"/>
  <c r="N77" i="6"/>
  <c r="M77" i="6"/>
  <c r="L77" i="6"/>
  <c r="J77" i="6"/>
  <c r="I77" i="6"/>
  <c r="H77" i="6"/>
  <c r="G77" i="6"/>
  <c r="F77" i="6"/>
  <c r="E77" i="6"/>
  <c r="D77" i="6"/>
  <c r="C77" i="6"/>
  <c r="B77" i="6"/>
  <c r="A77" i="6"/>
  <c r="Y76" i="6"/>
  <c r="X76" i="6"/>
  <c r="W76" i="6"/>
  <c r="V76" i="6"/>
  <c r="U76" i="6"/>
  <c r="T76" i="6"/>
  <c r="S76" i="6"/>
  <c r="R76" i="6"/>
  <c r="Q76" i="6"/>
  <c r="P76" i="6"/>
  <c r="O76" i="6"/>
  <c r="N76" i="6"/>
  <c r="M76" i="6"/>
  <c r="J76" i="6"/>
  <c r="I76" i="6"/>
  <c r="H76" i="6"/>
  <c r="G76" i="6"/>
  <c r="F76" i="6"/>
  <c r="E76" i="6"/>
  <c r="D76" i="6"/>
  <c r="C76" i="6"/>
  <c r="B76" i="6"/>
  <c r="A76" i="6"/>
  <c r="Y75" i="6"/>
  <c r="X75" i="6"/>
  <c r="W75" i="6"/>
  <c r="V75" i="6"/>
  <c r="U75" i="6"/>
  <c r="T75" i="6"/>
  <c r="S75" i="6"/>
  <c r="R75" i="6"/>
  <c r="Q75" i="6"/>
  <c r="P75" i="6"/>
  <c r="O75" i="6"/>
  <c r="N75" i="6"/>
  <c r="M75" i="6"/>
  <c r="J75" i="6"/>
  <c r="I75" i="6"/>
  <c r="H75" i="6"/>
  <c r="G75" i="6"/>
  <c r="F75" i="6"/>
  <c r="E75" i="6"/>
  <c r="D75" i="6"/>
  <c r="C75" i="6"/>
  <c r="B75" i="6"/>
  <c r="A75" i="6"/>
  <c r="Y74" i="6"/>
  <c r="X74" i="6"/>
  <c r="W74" i="6"/>
  <c r="V74" i="6"/>
  <c r="U74" i="6"/>
  <c r="T74" i="6"/>
  <c r="S74" i="6"/>
  <c r="R74" i="6"/>
  <c r="Q74" i="6"/>
  <c r="P74" i="6"/>
  <c r="O74" i="6"/>
  <c r="N74" i="6"/>
  <c r="M74" i="6"/>
  <c r="L74" i="6"/>
  <c r="J74" i="6"/>
  <c r="I74" i="6"/>
  <c r="H74" i="6"/>
  <c r="G74" i="6"/>
  <c r="F74" i="6"/>
  <c r="E74" i="6"/>
  <c r="D74" i="6"/>
  <c r="C74" i="6"/>
  <c r="B74" i="6"/>
  <c r="A74" i="6"/>
  <c r="Y73" i="6"/>
  <c r="X73" i="6"/>
  <c r="W73" i="6"/>
  <c r="V73" i="6"/>
  <c r="U73" i="6"/>
  <c r="T73" i="6"/>
  <c r="S73" i="6"/>
  <c r="R73" i="6"/>
  <c r="P73" i="6"/>
  <c r="O73" i="6"/>
  <c r="N73" i="6"/>
  <c r="M73" i="6"/>
  <c r="J73" i="6"/>
  <c r="I73" i="6"/>
  <c r="H73" i="6"/>
  <c r="G73" i="6"/>
  <c r="F73" i="6"/>
  <c r="E73" i="6"/>
  <c r="D73" i="6"/>
  <c r="C73" i="6"/>
  <c r="B73" i="6"/>
  <c r="A73" i="6"/>
  <c r="Y72" i="6"/>
  <c r="X72" i="6"/>
  <c r="W72" i="6"/>
  <c r="V72" i="6"/>
  <c r="U72" i="6"/>
  <c r="T72" i="6"/>
  <c r="S72" i="6"/>
  <c r="R72" i="6"/>
  <c r="P72" i="6"/>
  <c r="O72" i="6"/>
  <c r="N72" i="6"/>
  <c r="M72" i="6"/>
  <c r="L72" i="6"/>
  <c r="J72" i="6"/>
  <c r="I72" i="6"/>
  <c r="H72" i="6"/>
  <c r="G72" i="6"/>
  <c r="F72" i="6"/>
  <c r="E72" i="6"/>
  <c r="D72" i="6"/>
  <c r="C72" i="6"/>
  <c r="B72" i="6"/>
  <c r="A72" i="6"/>
  <c r="Y71" i="6"/>
  <c r="X71" i="6"/>
  <c r="W71" i="6"/>
  <c r="V71" i="6"/>
  <c r="U71" i="6"/>
  <c r="T71" i="6"/>
  <c r="S71" i="6"/>
  <c r="R71" i="6"/>
  <c r="Q71" i="6"/>
  <c r="P71" i="6"/>
  <c r="O71" i="6"/>
  <c r="N71" i="6"/>
  <c r="M71" i="6"/>
  <c r="L71" i="6"/>
  <c r="J71" i="6"/>
  <c r="I71" i="6"/>
  <c r="H71" i="6"/>
  <c r="G71" i="6"/>
  <c r="F71" i="6"/>
  <c r="E71" i="6"/>
  <c r="D71" i="6"/>
  <c r="C71" i="6"/>
  <c r="B71" i="6"/>
  <c r="A71" i="6"/>
  <c r="Y70" i="6"/>
  <c r="X70" i="6"/>
  <c r="W70" i="6"/>
  <c r="V70" i="6"/>
  <c r="U70" i="6"/>
  <c r="T70" i="6"/>
  <c r="S70" i="6"/>
  <c r="R70" i="6"/>
  <c r="P70" i="6"/>
  <c r="O70" i="6"/>
  <c r="N70" i="6"/>
  <c r="M70" i="6"/>
  <c r="L70" i="6"/>
  <c r="J70" i="6"/>
  <c r="I70" i="6"/>
  <c r="H70" i="6"/>
  <c r="G70" i="6"/>
  <c r="F70" i="6"/>
  <c r="E70" i="6"/>
  <c r="D70" i="6"/>
  <c r="C70" i="6"/>
  <c r="B70" i="6"/>
  <c r="A70" i="6"/>
  <c r="Y69" i="6"/>
  <c r="X69" i="6"/>
  <c r="W69" i="6"/>
  <c r="V69" i="6"/>
  <c r="U69" i="6"/>
  <c r="T69" i="6"/>
  <c r="S69" i="6"/>
  <c r="R69" i="6"/>
  <c r="Q69" i="6"/>
  <c r="P69" i="6"/>
  <c r="O69" i="6"/>
  <c r="N69" i="6"/>
  <c r="M69" i="6"/>
  <c r="L69" i="6"/>
  <c r="J69" i="6"/>
  <c r="I69" i="6"/>
  <c r="H69" i="6"/>
  <c r="G69" i="6"/>
  <c r="F69" i="6"/>
  <c r="E69" i="6"/>
  <c r="D69" i="6"/>
  <c r="C69" i="6"/>
  <c r="B69" i="6"/>
  <c r="A69" i="6"/>
  <c r="Y68" i="6"/>
  <c r="X68" i="6"/>
  <c r="W68" i="6"/>
  <c r="V68" i="6"/>
  <c r="U68" i="6"/>
  <c r="T68" i="6"/>
  <c r="S68" i="6"/>
  <c r="R68" i="6"/>
  <c r="Q68" i="6"/>
  <c r="P68" i="6"/>
  <c r="O68" i="6"/>
  <c r="N68" i="6"/>
  <c r="M68" i="6"/>
  <c r="L68" i="6"/>
  <c r="J68" i="6"/>
  <c r="I68" i="6"/>
  <c r="H68" i="6"/>
  <c r="G68" i="6"/>
  <c r="F68" i="6"/>
  <c r="E68" i="6"/>
  <c r="D68" i="6"/>
  <c r="C68" i="6"/>
  <c r="B68" i="6"/>
  <c r="A68" i="6"/>
  <c r="Y67" i="6"/>
  <c r="X67" i="6"/>
  <c r="W67" i="6"/>
  <c r="V67" i="6"/>
  <c r="U67" i="6"/>
  <c r="T67" i="6"/>
  <c r="S67" i="6"/>
  <c r="R67" i="6"/>
  <c r="P67" i="6"/>
  <c r="O67" i="6"/>
  <c r="N67" i="6"/>
  <c r="M67" i="6"/>
  <c r="L67" i="6"/>
  <c r="J67" i="6"/>
  <c r="I67" i="6"/>
  <c r="H67" i="6"/>
  <c r="G67" i="6"/>
  <c r="F67" i="6"/>
  <c r="E67" i="6"/>
  <c r="D67" i="6"/>
  <c r="C67" i="6"/>
  <c r="B67" i="6"/>
  <c r="A67" i="6"/>
  <c r="Y66" i="6"/>
  <c r="X66" i="6"/>
  <c r="W66" i="6"/>
  <c r="V66" i="6"/>
  <c r="U66" i="6"/>
  <c r="T66" i="6"/>
  <c r="S66" i="6"/>
  <c r="R66" i="6"/>
  <c r="P66" i="6"/>
  <c r="O66" i="6"/>
  <c r="N66" i="6"/>
  <c r="M66" i="6"/>
  <c r="K66" i="6"/>
  <c r="J66" i="6"/>
  <c r="I66" i="6"/>
  <c r="H66" i="6"/>
  <c r="G66" i="6"/>
  <c r="F66" i="6"/>
  <c r="E66" i="6"/>
  <c r="D66" i="6"/>
  <c r="C66" i="6"/>
  <c r="B66" i="6"/>
  <c r="A66" i="6"/>
  <c r="Y65" i="6"/>
  <c r="X65" i="6"/>
  <c r="W65" i="6"/>
  <c r="V65" i="6"/>
  <c r="U65" i="6"/>
  <c r="T65" i="6"/>
  <c r="S65" i="6"/>
  <c r="R65" i="6"/>
  <c r="Q65" i="6"/>
  <c r="P65" i="6"/>
  <c r="O65" i="6"/>
  <c r="N65" i="6"/>
  <c r="M65" i="6"/>
  <c r="L65" i="6"/>
  <c r="K65" i="6"/>
  <c r="J65" i="6"/>
  <c r="I65" i="6"/>
  <c r="H65" i="6"/>
  <c r="G65" i="6"/>
  <c r="F65" i="6"/>
  <c r="E65" i="6"/>
  <c r="D65" i="6"/>
  <c r="C65" i="6"/>
  <c r="B65" i="6"/>
  <c r="A65" i="6"/>
  <c r="Y64" i="6"/>
  <c r="X64" i="6"/>
  <c r="W64" i="6"/>
  <c r="V64" i="6"/>
  <c r="U64" i="6"/>
  <c r="T64" i="6"/>
  <c r="S64" i="6"/>
  <c r="R64" i="6"/>
  <c r="Q64" i="6"/>
  <c r="P64" i="6"/>
  <c r="O64" i="6"/>
  <c r="N64" i="6"/>
  <c r="M64" i="6"/>
  <c r="L64" i="6"/>
  <c r="K64" i="6"/>
  <c r="J64" i="6"/>
  <c r="I64" i="6"/>
  <c r="H64" i="6"/>
  <c r="G64" i="6"/>
  <c r="F64" i="6"/>
  <c r="E64" i="6"/>
  <c r="D64" i="6"/>
  <c r="C64" i="6"/>
  <c r="B64" i="6"/>
  <c r="A64" i="6"/>
  <c r="Y63" i="6"/>
  <c r="X63" i="6"/>
  <c r="W63" i="6"/>
  <c r="V63" i="6"/>
  <c r="U63" i="6"/>
  <c r="T63" i="6"/>
  <c r="S63" i="6"/>
  <c r="R63" i="6"/>
  <c r="P63" i="6"/>
  <c r="O63" i="6"/>
  <c r="N63" i="6"/>
  <c r="M63" i="6"/>
  <c r="K63" i="6"/>
  <c r="J63" i="6"/>
  <c r="I63" i="6"/>
  <c r="H63" i="6"/>
  <c r="G63" i="6"/>
  <c r="F63" i="6"/>
  <c r="E63" i="6"/>
  <c r="D63" i="6"/>
  <c r="C63" i="6"/>
  <c r="B63" i="6"/>
  <c r="A63" i="6"/>
  <c r="Y62" i="6"/>
  <c r="X62" i="6"/>
  <c r="W62" i="6"/>
  <c r="V62" i="6"/>
  <c r="U62" i="6"/>
  <c r="T62" i="6"/>
  <c r="S62" i="6"/>
  <c r="R62" i="6"/>
  <c r="Q62" i="6"/>
  <c r="P62" i="6"/>
  <c r="O62" i="6"/>
  <c r="N62" i="6"/>
  <c r="M62" i="6"/>
  <c r="J62" i="6"/>
  <c r="I62" i="6"/>
  <c r="H62" i="6"/>
  <c r="G62" i="6"/>
  <c r="F62" i="6"/>
  <c r="E62" i="6"/>
  <c r="D62" i="6"/>
  <c r="C62" i="6"/>
  <c r="B62" i="6"/>
  <c r="A62" i="6"/>
  <c r="Y61" i="6"/>
  <c r="X61" i="6"/>
  <c r="W61" i="6"/>
  <c r="V61" i="6"/>
  <c r="U61" i="6"/>
  <c r="T61" i="6"/>
  <c r="S61" i="6"/>
  <c r="R61" i="6"/>
  <c r="Q61" i="6"/>
  <c r="P61" i="6"/>
  <c r="O61" i="6"/>
  <c r="N61" i="6"/>
  <c r="M61" i="6"/>
  <c r="L61" i="6"/>
  <c r="J61" i="6"/>
  <c r="I61" i="6"/>
  <c r="H61" i="6"/>
  <c r="G61" i="6"/>
  <c r="F61" i="6"/>
  <c r="E61" i="6"/>
  <c r="D61" i="6"/>
  <c r="C61" i="6"/>
  <c r="B61" i="6"/>
  <c r="A61" i="6"/>
  <c r="Y60" i="6"/>
  <c r="X60" i="6"/>
  <c r="W60" i="6"/>
  <c r="V60" i="6"/>
  <c r="U60" i="6"/>
  <c r="T60" i="6"/>
  <c r="S60" i="6"/>
  <c r="R60" i="6"/>
  <c r="Q60" i="6"/>
  <c r="P60" i="6"/>
  <c r="O60" i="6"/>
  <c r="N60" i="6"/>
  <c r="M60" i="6"/>
  <c r="K60" i="6"/>
  <c r="J60" i="6"/>
  <c r="I60" i="6"/>
  <c r="H60" i="6"/>
  <c r="G60" i="6"/>
  <c r="F60" i="6"/>
  <c r="E60" i="6"/>
  <c r="D60" i="6"/>
  <c r="C60" i="6"/>
  <c r="B60" i="6"/>
  <c r="A60" i="6"/>
  <c r="Y59" i="6"/>
  <c r="X59" i="6"/>
  <c r="W59" i="6"/>
  <c r="V59" i="6"/>
  <c r="U59" i="6"/>
  <c r="T59" i="6"/>
  <c r="S59" i="6"/>
  <c r="R59" i="6"/>
  <c r="Q59" i="6"/>
  <c r="P59" i="6"/>
  <c r="O59" i="6"/>
  <c r="N59" i="6"/>
  <c r="M59" i="6"/>
  <c r="J59" i="6"/>
  <c r="I59" i="6"/>
  <c r="H59" i="6"/>
  <c r="G59" i="6"/>
  <c r="F59" i="6"/>
  <c r="E59" i="6"/>
  <c r="D59" i="6"/>
  <c r="C59" i="6"/>
  <c r="B59" i="6"/>
  <c r="A59" i="6"/>
  <c r="Y58" i="6"/>
  <c r="X58" i="6"/>
  <c r="W58" i="6"/>
  <c r="V58" i="6"/>
  <c r="U58" i="6"/>
  <c r="T58" i="6"/>
  <c r="S58" i="6"/>
  <c r="R58" i="6"/>
  <c r="P58" i="6"/>
  <c r="O58" i="6"/>
  <c r="N58" i="6"/>
  <c r="M58" i="6"/>
  <c r="K58" i="6"/>
  <c r="J58" i="6"/>
  <c r="I58" i="6"/>
  <c r="H58" i="6"/>
  <c r="G58" i="6"/>
  <c r="F58" i="6"/>
  <c r="E58" i="6"/>
  <c r="D58" i="6"/>
  <c r="C58" i="6"/>
  <c r="B58" i="6"/>
  <c r="A58" i="6"/>
  <c r="Y57" i="6"/>
  <c r="X57" i="6"/>
  <c r="W57" i="6"/>
  <c r="V57" i="6"/>
  <c r="U57" i="6"/>
  <c r="T57" i="6"/>
  <c r="S57" i="6"/>
  <c r="R57" i="6"/>
  <c r="Q57" i="6"/>
  <c r="P57" i="6"/>
  <c r="O57" i="6"/>
  <c r="N57" i="6"/>
  <c r="M57" i="6"/>
  <c r="J57" i="6"/>
  <c r="I57" i="6"/>
  <c r="H57" i="6"/>
  <c r="G57" i="6"/>
  <c r="F57" i="6"/>
  <c r="E57" i="6"/>
  <c r="D57" i="6"/>
  <c r="C57" i="6"/>
  <c r="B57" i="6"/>
  <c r="A57" i="6"/>
  <c r="Y56" i="6"/>
  <c r="X56" i="6"/>
  <c r="W56" i="6"/>
  <c r="V56" i="6"/>
  <c r="U56" i="6"/>
  <c r="T56" i="6"/>
  <c r="S56" i="6"/>
  <c r="R56" i="6"/>
  <c r="Q56" i="6"/>
  <c r="P56" i="6"/>
  <c r="O56" i="6"/>
  <c r="N56" i="6"/>
  <c r="M56" i="6"/>
  <c r="L56" i="6"/>
  <c r="J56" i="6"/>
  <c r="I56" i="6"/>
  <c r="H56" i="6"/>
  <c r="G56" i="6"/>
  <c r="F56" i="6"/>
  <c r="E56" i="6"/>
  <c r="D56" i="6"/>
  <c r="C56" i="6"/>
  <c r="B56" i="6"/>
  <c r="A56" i="6"/>
  <c r="Y55" i="6"/>
  <c r="X55" i="6"/>
  <c r="W55" i="6"/>
  <c r="V55" i="6"/>
  <c r="U55" i="6"/>
  <c r="T55" i="6"/>
  <c r="S55" i="6"/>
  <c r="R55" i="6"/>
  <c r="P55" i="6"/>
  <c r="O55" i="6"/>
  <c r="N55" i="6"/>
  <c r="M55" i="6"/>
  <c r="J55" i="6"/>
  <c r="I55" i="6"/>
  <c r="H55" i="6"/>
  <c r="G55" i="6"/>
  <c r="F55" i="6"/>
  <c r="E55" i="6"/>
  <c r="D55" i="6"/>
  <c r="C55" i="6"/>
  <c r="B55" i="6"/>
  <c r="A55" i="6"/>
  <c r="Y54" i="6"/>
  <c r="X54" i="6"/>
  <c r="W54" i="6"/>
  <c r="V54" i="6"/>
  <c r="U54" i="6"/>
  <c r="T54" i="6"/>
  <c r="S54" i="6"/>
  <c r="R54" i="6"/>
  <c r="P54" i="6"/>
  <c r="O54" i="6"/>
  <c r="N54" i="6"/>
  <c r="M54" i="6"/>
  <c r="J54" i="6"/>
  <c r="I54" i="6"/>
  <c r="H54" i="6"/>
  <c r="G54" i="6"/>
  <c r="F54" i="6"/>
  <c r="E54" i="6"/>
  <c r="D54" i="6"/>
  <c r="C54" i="6"/>
  <c r="B54" i="6"/>
  <c r="A54" i="6"/>
  <c r="Y53" i="6"/>
  <c r="X53" i="6"/>
  <c r="W53" i="6"/>
  <c r="V53" i="6"/>
  <c r="U53" i="6"/>
  <c r="T53" i="6"/>
  <c r="S53" i="6"/>
  <c r="R53" i="6"/>
  <c r="Q53" i="6"/>
  <c r="P53" i="6"/>
  <c r="O53" i="6"/>
  <c r="N53" i="6"/>
  <c r="M53" i="6"/>
  <c r="J53" i="6"/>
  <c r="I53" i="6"/>
  <c r="H53" i="6"/>
  <c r="G53" i="6"/>
  <c r="F53" i="6"/>
  <c r="E53" i="6"/>
  <c r="D53" i="6"/>
  <c r="C53" i="6"/>
  <c r="B53" i="6"/>
  <c r="A53" i="6"/>
  <c r="Y52" i="6"/>
  <c r="X52" i="6"/>
  <c r="W52" i="6"/>
  <c r="V52" i="6"/>
  <c r="U52" i="6"/>
  <c r="T52" i="6"/>
  <c r="S52" i="6"/>
  <c r="R52" i="6"/>
  <c r="Q52" i="6"/>
  <c r="P52" i="6"/>
  <c r="O52" i="6"/>
  <c r="N52" i="6"/>
  <c r="M52" i="6"/>
  <c r="L52" i="6"/>
  <c r="J52" i="6"/>
  <c r="I52" i="6"/>
  <c r="H52" i="6"/>
  <c r="G52" i="6"/>
  <c r="F52" i="6"/>
  <c r="E52" i="6"/>
  <c r="D52" i="6"/>
  <c r="C52" i="6"/>
  <c r="B52" i="6"/>
  <c r="A52" i="6"/>
  <c r="Y51" i="6"/>
  <c r="X51" i="6"/>
  <c r="W51" i="6"/>
  <c r="V51" i="6"/>
  <c r="U51" i="6"/>
  <c r="T51" i="6"/>
  <c r="S51" i="6"/>
  <c r="R51" i="6"/>
  <c r="Q51" i="6"/>
  <c r="P51" i="6"/>
  <c r="O51" i="6"/>
  <c r="N51" i="6"/>
  <c r="M51" i="6"/>
  <c r="J51" i="6"/>
  <c r="I51" i="6"/>
  <c r="H51" i="6"/>
  <c r="G51" i="6"/>
  <c r="F51" i="6"/>
  <c r="E51" i="6"/>
  <c r="D51" i="6"/>
  <c r="C51" i="6"/>
  <c r="B51" i="6"/>
  <c r="A51" i="6"/>
  <c r="Y50" i="6"/>
  <c r="X50" i="6"/>
  <c r="W50" i="6"/>
  <c r="V50" i="6"/>
  <c r="U50" i="6"/>
  <c r="T50" i="6"/>
  <c r="S50" i="6"/>
  <c r="R50" i="6"/>
  <c r="Q50" i="6"/>
  <c r="P50" i="6"/>
  <c r="O50" i="6"/>
  <c r="N50" i="6"/>
  <c r="M50" i="6"/>
  <c r="J50" i="6"/>
  <c r="I50" i="6"/>
  <c r="H50" i="6"/>
  <c r="G50" i="6"/>
  <c r="F50" i="6"/>
  <c r="E50" i="6"/>
  <c r="D50" i="6"/>
  <c r="C50" i="6"/>
  <c r="B50" i="6"/>
  <c r="A50" i="6"/>
  <c r="Y49" i="6"/>
  <c r="X49" i="6"/>
  <c r="W49" i="6"/>
  <c r="V49" i="6"/>
  <c r="U49" i="6"/>
  <c r="T49" i="6"/>
  <c r="S49" i="6"/>
  <c r="R49" i="6"/>
  <c r="Q49" i="6"/>
  <c r="P49" i="6"/>
  <c r="O49" i="6"/>
  <c r="N49" i="6"/>
  <c r="M49" i="6"/>
  <c r="L49" i="6"/>
  <c r="J49" i="6"/>
  <c r="I49" i="6"/>
  <c r="H49" i="6"/>
  <c r="G49" i="6"/>
  <c r="F49" i="6"/>
  <c r="E49" i="6"/>
  <c r="D49" i="6"/>
  <c r="C49" i="6"/>
  <c r="B49" i="6"/>
  <c r="A49" i="6"/>
  <c r="Y48" i="6"/>
  <c r="X48" i="6"/>
  <c r="W48" i="6"/>
  <c r="V48" i="6"/>
  <c r="U48" i="6"/>
  <c r="T48" i="6"/>
  <c r="S48" i="6"/>
  <c r="R48" i="6"/>
  <c r="P48" i="6"/>
  <c r="O48" i="6"/>
  <c r="N48" i="6"/>
  <c r="M48" i="6"/>
  <c r="J48" i="6"/>
  <c r="I48" i="6"/>
  <c r="H48" i="6"/>
  <c r="G48" i="6"/>
  <c r="F48" i="6"/>
  <c r="E48" i="6"/>
  <c r="D48" i="6"/>
  <c r="C48" i="6"/>
  <c r="B48" i="6"/>
  <c r="A48" i="6"/>
  <c r="Y47" i="6"/>
  <c r="X47" i="6"/>
  <c r="W47" i="6"/>
  <c r="V47" i="6"/>
  <c r="U47" i="6"/>
  <c r="T47" i="6"/>
  <c r="S47" i="6"/>
  <c r="R47" i="6"/>
  <c r="Q47" i="6"/>
  <c r="P47" i="6"/>
  <c r="O47" i="6"/>
  <c r="N47" i="6"/>
  <c r="M47" i="6"/>
  <c r="J47" i="6"/>
  <c r="I47" i="6"/>
  <c r="H47" i="6"/>
  <c r="G47" i="6"/>
  <c r="F47" i="6"/>
  <c r="E47" i="6"/>
  <c r="D47" i="6"/>
  <c r="C47" i="6"/>
  <c r="B47" i="6"/>
  <c r="A47" i="6"/>
  <c r="Y46" i="6"/>
  <c r="X46" i="6"/>
  <c r="W46" i="6"/>
  <c r="V46" i="6"/>
  <c r="U46" i="6"/>
  <c r="T46" i="6"/>
  <c r="S46" i="6"/>
  <c r="R46" i="6"/>
  <c r="Q46" i="6"/>
  <c r="P46" i="6"/>
  <c r="O46" i="6"/>
  <c r="N46" i="6"/>
  <c r="M46" i="6"/>
  <c r="L46" i="6"/>
  <c r="J46" i="6"/>
  <c r="I46" i="6"/>
  <c r="H46" i="6"/>
  <c r="G46" i="6"/>
  <c r="F46" i="6"/>
  <c r="E46" i="6"/>
  <c r="D46" i="6"/>
  <c r="C46" i="6"/>
  <c r="B46" i="6"/>
  <c r="A46" i="6"/>
  <c r="Y45" i="6"/>
  <c r="X45" i="6"/>
  <c r="W45" i="6"/>
  <c r="V45" i="6"/>
  <c r="U45" i="6"/>
  <c r="T45" i="6"/>
  <c r="S45" i="6"/>
  <c r="R45" i="6"/>
  <c r="P45" i="6"/>
  <c r="O45" i="6"/>
  <c r="N45" i="6"/>
  <c r="M45" i="6"/>
  <c r="J45" i="6"/>
  <c r="I45" i="6"/>
  <c r="H45" i="6"/>
  <c r="G45" i="6"/>
  <c r="F45" i="6"/>
  <c r="E45" i="6"/>
  <c r="D45" i="6"/>
  <c r="C45" i="6"/>
  <c r="B45" i="6"/>
  <c r="A45" i="6"/>
  <c r="Y44" i="6"/>
  <c r="X44" i="6"/>
  <c r="W44" i="6"/>
  <c r="V44" i="6"/>
  <c r="U44" i="6"/>
  <c r="T44" i="6"/>
  <c r="S44" i="6"/>
  <c r="R44" i="6"/>
  <c r="Q44" i="6"/>
  <c r="P44" i="6"/>
  <c r="O44" i="6"/>
  <c r="N44" i="6"/>
  <c r="M44" i="6"/>
  <c r="K44" i="6"/>
  <c r="J44" i="6"/>
  <c r="I44" i="6"/>
  <c r="H44" i="6"/>
  <c r="G44" i="6"/>
  <c r="F44" i="6"/>
  <c r="E44" i="6"/>
  <c r="D44" i="6"/>
  <c r="C44" i="6"/>
  <c r="B44" i="6"/>
  <c r="A44" i="6"/>
  <c r="Y43" i="6"/>
  <c r="X43" i="6"/>
  <c r="W43" i="6"/>
  <c r="V43" i="6"/>
  <c r="U43" i="6"/>
  <c r="T43" i="6"/>
  <c r="S43" i="6"/>
  <c r="R43" i="6"/>
  <c r="P43" i="6"/>
  <c r="O43" i="6"/>
  <c r="N43" i="6"/>
  <c r="M43" i="6"/>
  <c r="L43" i="6"/>
  <c r="J43" i="6"/>
  <c r="I43" i="6"/>
  <c r="H43" i="6"/>
  <c r="G43" i="6"/>
  <c r="F43" i="6"/>
  <c r="E43" i="6"/>
  <c r="D43" i="6"/>
  <c r="C43" i="6"/>
  <c r="B43" i="6"/>
  <c r="A43" i="6"/>
  <c r="Y42" i="6"/>
  <c r="X42" i="6"/>
  <c r="W42" i="6"/>
  <c r="V42" i="6"/>
  <c r="U42" i="6"/>
  <c r="T42" i="6"/>
  <c r="S42" i="6"/>
  <c r="R42" i="6"/>
  <c r="Q42" i="6"/>
  <c r="P42" i="6"/>
  <c r="O42" i="6"/>
  <c r="N42" i="6"/>
  <c r="M42" i="6"/>
  <c r="L42" i="6"/>
  <c r="J42" i="6"/>
  <c r="I42" i="6"/>
  <c r="H42" i="6"/>
  <c r="G42" i="6"/>
  <c r="F42" i="6"/>
  <c r="E42" i="6"/>
  <c r="D42" i="6"/>
  <c r="C42" i="6"/>
  <c r="B42" i="6"/>
  <c r="A42" i="6"/>
  <c r="Y41" i="6"/>
  <c r="X41" i="6"/>
  <c r="W41" i="6"/>
  <c r="V41" i="6"/>
  <c r="U41" i="6"/>
  <c r="T41" i="6"/>
  <c r="S41" i="6"/>
  <c r="R41" i="6"/>
  <c r="Q41" i="6"/>
  <c r="P41" i="6"/>
  <c r="O41" i="6"/>
  <c r="N41" i="6"/>
  <c r="M41" i="6"/>
  <c r="L41" i="6"/>
  <c r="J41" i="6"/>
  <c r="I41" i="6"/>
  <c r="H41" i="6"/>
  <c r="G41" i="6"/>
  <c r="F41" i="6"/>
  <c r="E41" i="6"/>
  <c r="D41" i="6"/>
  <c r="C41" i="6"/>
  <c r="B41" i="6"/>
  <c r="A41" i="6"/>
  <c r="Y40" i="6"/>
  <c r="X40" i="6"/>
  <c r="W40" i="6"/>
  <c r="V40" i="6"/>
  <c r="U40" i="6"/>
  <c r="T40" i="6"/>
  <c r="S40" i="6"/>
  <c r="R40" i="6"/>
  <c r="Q40" i="6"/>
  <c r="P40" i="6"/>
  <c r="O40" i="6"/>
  <c r="N40" i="6"/>
  <c r="M40" i="6"/>
  <c r="J40" i="6"/>
  <c r="I40" i="6"/>
  <c r="H40" i="6"/>
  <c r="G40" i="6"/>
  <c r="F40" i="6"/>
  <c r="E40" i="6"/>
  <c r="D40" i="6"/>
  <c r="C40" i="6"/>
  <c r="B40" i="6"/>
  <c r="A40" i="6"/>
  <c r="Y39" i="6"/>
  <c r="X39" i="6"/>
  <c r="W39" i="6"/>
  <c r="V39" i="6"/>
  <c r="U39" i="6"/>
  <c r="T39" i="6"/>
  <c r="S39" i="6"/>
  <c r="R39" i="6"/>
  <c r="Q39" i="6"/>
  <c r="P39" i="6"/>
  <c r="O39" i="6"/>
  <c r="N39" i="6"/>
  <c r="M39" i="6"/>
  <c r="L39" i="6"/>
  <c r="J39" i="6"/>
  <c r="I39" i="6"/>
  <c r="H39" i="6"/>
  <c r="G39" i="6"/>
  <c r="F39" i="6"/>
  <c r="E39" i="6"/>
  <c r="D39" i="6"/>
  <c r="C39" i="6"/>
  <c r="B39" i="6"/>
  <c r="A39" i="6"/>
  <c r="Y38" i="6"/>
  <c r="X38" i="6"/>
  <c r="W38" i="6"/>
  <c r="V38" i="6"/>
  <c r="U38" i="6"/>
  <c r="T38" i="6"/>
  <c r="S38" i="6"/>
  <c r="R38" i="6"/>
  <c r="P38" i="6"/>
  <c r="O38" i="6"/>
  <c r="N38" i="6"/>
  <c r="M38" i="6"/>
  <c r="K38" i="6"/>
  <c r="J38" i="6"/>
  <c r="I38" i="6"/>
  <c r="H38" i="6"/>
  <c r="G38" i="6"/>
  <c r="F38" i="6"/>
  <c r="E38" i="6"/>
  <c r="D38" i="6"/>
  <c r="C38" i="6"/>
  <c r="B38" i="6"/>
  <c r="A38" i="6"/>
  <c r="Y37" i="6"/>
  <c r="X37" i="6"/>
  <c r="W37" i="6"/>
  <c r="V37" i="6"/>
  <c r="U37" i="6"/>
  <c r="T37" i="6"/>
  <c r="S37" i="6"/>
  <c r="R37" i="6"/>
  <c r="Q37" i="6"/>
  <c r="P37" i="6"/>
  <c r="O37" i="6"/>
  <c r="N37" i="6"/>
  <c r="M37" i="6"/>
  <c r="J37" i="6"/>
  <c r="I37" i="6"/>
  <c r="H37" i="6"/>
  <c r="G37" i="6"/>
  <c r="F37" i="6"/>
  <c r="E37" i="6"/>
  <c r="D37" i="6"/>
  <c r="C37" i="6"/>
  <c r="B37" i="6"/>
  <c r="A37" i="6"/>
  <c r="Y36" i="6"/>
  <c r="X36" i="6"/>
  <c r="W36" i="6"/>
  <c r="V36" i="6"/>
  <c r="U36" i="6"/>
  <c r="T36" i="6"/>
  <c r="S36" i="6"/>
  <c r="R36" i="6"/>
  <c r="Q36" i="6"/>
  <c r="P36" i="6"/>
  <c r="O36" i="6"/>
  <c r="N36" i="6"/>
  <c r="M36" i="6"/>
  <c r="L36" i="6"/>
  <c r="J36" i="6"/>
  <c r="I36" i="6"/>
  <c r="H36" i="6"/>
  <c r="G36" i="6"/>
  <c r="F36" i="6"/>
  <c r="E36" i="6"/>
  <c r="D36" i="6"/>
  <c r="C36" i="6"/>
  <c r="B36" i="6"/>
  <c r="A36" i="6"/>
  <c r="Y35" i="6"/>
  <c r="X35" i="6"/>
  <c r="W35" i="6"/>
  <c r="V35" i="6"/>
  <c r="U35" i="6"/>
  <c r="T35" i="6"/>
  <c r="S35" i="6"/>
  <c r="R35" i="6"/>
  <c r="Q35" i="6"/>
  <c r="P35" i="6"/>
  <c r="O35" i="6"/>
  <c r="N35" i="6"/>
  <c r="M35" i="6"/>
  <c r="J35" i="6"/>
  <c r="I35" i="6"/>
  <c r="H35" i="6"/>
  <c r="G35" i="6"/>
  <c r="F35" i="6"/>
  <c r="E35" i="6"/>
  <c r="D35" i="6"/>
  <c r="C35" i="6"/>
  <c r="B35" i="6"/>
  <c r="A35" i="6"/>
  <c r="Y34" i="6"/>
  <c r="X34" i="6"/>
  <c r="W34" i="6"/>
  <c r="V34" i="6"/>
  <c r="U34" i="6"/>
  <c r="T34" i="6"/>
  <c r="S34" i="6"/>
  <c r="R34" i="6"/>
  <c r="P34" i="6"/>
  <c r="O34" i="6"/>
  <c r="N34" i="6"/>
  <c r="M34" i="6"/>
  <c r="J34" i="6"/>
  <c r="I34" i="6"/>
  <c r="H34" i="6"/>
  <c r="G34" i="6"/>
  <c r="F34" i="6"/>
  <c r="E34" i="6"/>
  <c r="D34" i="6"/>
  <c r="C34" i="6"/>
  <c r="B34" i="6"/>
  <c r="A34" i="6"/>
  <c r="Y33" i="6"/>
  <c r="X33" i="6"/>
  <c r="W33" i="6"/>
  <c r="V33" i="6"/>
  <c r="U33" i="6"/>
  <c r="T33" i="6"/>
  <c r="S33" i="6"/>
  <c r="R33" i="6"/>
  <c r="P33" i="6"/>
  <c r="O33" i="6"/>
  <c r="N33" i="6"/>
  <c r="M33" i="6"/>
  <c r="J33" i="6"/>
  <c r="I33" i="6"/>
  <c r="H33" i="6"/>
  <c r="G33" i="6"/>
  <c r="F33" i="6"/>
  <c r="E33" i="6"/>
  <c r="D33" i="6"/>
  <c r="C33" i="6"/>
  <c r="B33" i="6"/>
  <c r="A33" i="6"/>
  <c r="Y32" i="6"/>
  <c r="X32" i="6"/>
  <c r="W32" i="6"/>
  <c r="V32" i="6"/>
  <c r="U32" i="6"/>
  <c r="T32" i="6"/>
  <c r="S32" i="6"/>
  <c r="R32" i="6"/>
  <c r="Q32" i="6"/>
  <c r="P32" i="6"/>
  <c r="O32" i="6"/>
  <c r="N32" i="6"/>
  <c r="M32" i="6"/>
  <c r="J32" i="6"/>
  <c r="I32" i="6"/>
  <c r="H32" i="6"/>
  <c r="G32" i="6"/>
  <c r="F32" i="6"/>
  <c r="E32" i="6"/>
  <c r="D32" i="6"/>
  <c r="C32" i="6"/>
  <c r="B32" i="6"/>
  <c r="A32" i="6"/>
  <c r="Y31" i="6"/>
  <c r="X31" i="6"/>
  <c r="W31" i="6"/>
  <c r="V31" i="6"/>
  <c r="U31" i="6"/>
  <c r="T31" i="6"/>
  <c r="S31" i="6"/>
  <c r="R31" i="6"/>
  <c r="Q31" i="6"/>
  <c r="P31" i="6"/>
  <c r="O31" i="6"/>
  <c r="N31" i="6"/>
  <c r="M31" i="6"/>
  <c r="L31" i="6"/>
  <c r="J31" i="6"/>
  <c r="I31" i="6"/>
  <c r="H31" i="6"/>
  <c r="G31" i="6"/>
  <c r="F31" i="6"/>
  <c r="E31" i="6"/>
  <c r="D31" i="6"/>
  <c r="C31" i="6"/>
  <c r="B31" i="6"/>
  <c r="A31" i="6"/>
  <c r="Y30" i="6"/>
  <c r="X30" i="6"/>
  <c r="W30" i="6"/>
  <c r="V30" i="6"/>
  <c r="U30" i="6"/>
  <c r="T30" i="6"/>
  <c r="S30" i="6"/>
  <c r="R30" i="6"/>
  <c r="Q30" i="6"/>
  <c r="P30" i="6"/>
  <c r="O30" i="6"/>
  <c r="N30" i="6"/>
  <c r="M30" i="6"/>
  <c r="J30" i="6"/>
  <c r="I30" i="6"/>
  <c r="H30" i="6"/>
  <c r="G30" i="6"/>
  <c r="F30" i="6"/>
  <c r="E30" i="6"/>
  <c r="D30" i="6"/>
  <c r="C30" i="6"/>
  <c r="B30" i="6"/>
  <c r="A30" i="6"/>
  <c r="Y29" i="6"/>
  <c r="X29" i="6"/>
  <c r="W29" i="6"/>
  <c r="V29" i="6"/>
  <c r="U29" i="6"/>
  <c r="T29" i="6"/>
  <c r="S29" i="6"/>
  <c r="R29" i="6"/>
  <c r="P29" i="6"/>
  <c r="O29" i="6"/>
  <c r="N29" i="6"/>
  <c r="M29" i="6"/>
  <c r="L29" i="6"/>
  <c r="J29" i="6"/>
  <c r="I29" i="6"/>
  <c r="H29" i="6"/>
  <c r="G29" i="6"/>
  <c r="F29" i="6"/>
  <c r="E29" i="6"/>
  <c r="D29" i="6"/>
  <c r="C29" i="6"/>
  <c r="B29" i="6"/>
  <c r="A29" i="6"/>
  <c r="Y28" i="6"/>
  <c r="X28" i="6"/>
  <c r="W28" i="6"/>
  <c r="V28" i="6"/>
  <c r="U28" i="6"/>
  <c r="T28" i="6"/>
  <c r="S28" i="6"/>
  <c r="R28" i="6"/>
  <c r="Q28" i="6"/>
  <c r="P28" i="6"/>
  <c r="O28" i="6"/>
  <c r="N28" i="6"/>
  <c r="M28" i="6"/>
  <c r="L28" i="6"/>
  <c r="J28" i="6"/>
  <c r="I28" i="6"/>
  <c r="H28" i="6"/>
  <c r="G28" i="6"/>
  <c r="F28" i="6"/>
  <c r="E28" i="6"/>
  <c r="D28" i="6"/>
  <c r="C28" i="6"/>
  <c r="B28" i="6"/>
  <c r="A28" i="6"/>
  <c r="Y27" i="6"/>
  <c r="X27" i="6"/>
  <c r="W27" i="6"/>
  <c r="V27" i="6"/>
  <c r="U27" i="6"/>
  <c r="T27" i="6"/>
  <c r="S27" i="6"/>
  <c r="R27" i="6"/>
  <c r="Q27" i="6"/>
  <c r="P27" i="6"/>
  <c r="O27" i="6"/>
  <c r="N27" i="6"/>
  <c r="M27" i="6"/>
  <c r="J27" i="6"/>
  <c r="I27" i="6"/>
  <c r="H27" i="6"/>
  <c r="G27" i="6"/>
  <c r="F27" i="6"/>
  <c r="E27" i="6"/>
  <c r="D27" i="6"/>
  <c r="C27" i="6"/>
  <c r="B27" i="6"/>
  <c r="A27" i="6"/>
  <c r="Y26" i="6"/>
  <c r="X26" i="6"/>
  <c r="W26" i="6"/>
  <c r="V26" i="6"/>
  <c r="U26" i="6"/>
  <c r="T26" i="6"/>
  <c r="S26" i="6"/>
  <c r="R26" i="6"/>
  <c r="P26" i="6"/>
  <c r="O26" i="6"/>
  <c r="N26" i="6"/>
  <c r="M26" i="6"/>
  <c r="L26" i="6"/>
  <c r="J26" i="6"/>
  <c r="I26" i="6"/>
  <c r="H26" i="6"/>
  <c r="G26" i="6"/>
  <c r="F26" i="6"/>
  <c r="E26" i="6"/>
  <c r="D26" i="6"/>
  <c r="C26" i="6"/>
  <c r="B26" i="6"/>
  <c r="A26" i="6"/>
  <c r="Y25" i="6"/>
  <c r="X25" i="6"/>
  <c r="W25" i="6"/>
  <c r="V25" i="6"/>
  <c r="U25" i="6"/>
  <c r="T25" i="6"/>
  <c r="S25" i="6"/>
  <c r="R25" i="6"/>
  <c r="Q25" i="6"/>
  <c r="P25" i="6"/>
  <c r="O25" i="6"/>
  <c r="N25" i="6"/>
  <c r="M25" i="6"/>
  <c r="J25" i="6"/>
  <c r="I25" i="6"/>
  <c r="H25" i="6"/>
  <c r="G25" i="6"/>
  <c r="F25" i="6"/>
  <c r="E25" i="6"/>
  <c r="D25" i="6"/>
  <c r="C25" i="6"/>
  <c r="B25" i="6"/>
  <c r="A25" i="6"/>
  <c r="Y24" i="6"/>
  <c r="X24" i="6"/>
  <c r="W24" i="6"/>
  <c r="V24" i="6"/>
  <c r="U24" i="6"/>
  <c r="T24" i="6"/>
  <c r="S24" i="6"/>
  <c r="R24" i="6"/>
  <c r="Q24" i="6"/>
  <c r="P24" i="6"/>
  <c r="O24" i="6"/>
  <c r="N24" i="6"/>
  <c r="M24" i="6"/>
  <c r="J24" i="6"/>
  <c r="I24" i="6"/>
  <c r="H24" i="6"/>
  <c r="G24" i="6"/>
  <c r="F24" i="6"/>
  <c r="E24" i="6"/>
  <c r="D24" i="6"/>
  <c r="C24" i="6"/>
  <c r="B24" i="6"/>
  <c r="A24" i="6"/>
  <c r="Y23" i="6"/>
  <c r="X23" i="6"/>
  <c r="W23" i="6"/>
  <c r="V23" i="6"/>
  <c r="U23" i="6"/>
  <c r="T23" i="6"/>
  <c r="S23" i="6"/>
  <c r="R23" i="6"/>
  <c r="P23" i="6"/>
  <c r="O23" i="6"/>
  <c r="N23" i="6"/>
  <c r="M23" i="6"/>
  <c r="L23" i="6"/>
  <c r="J23" i="6"/>
  <c r="I23" i="6"/>
  <c r="H23" i="6"/>
  <c r="G23" i="6"/>
  <c r="F23" i="6"/>
  <c r="E23" i="6"/>
  <c r="D23" i="6"/>
  <c r="C23" i="6"/>
  <c r="B23" i="6"/>
  <c r="A23" i="6"/>
  <c r="Y22" i="6"/>
  <c r="X22" i="6"/>
  <c r="W22" i="6"/>
  <c r="V22" i="6"/>
  <c r="U22" i="6"/>
  <c r="T22" i="6"/>
  <c r="S22" i="6"/>
  <c r="R22" i="6"/>
  <c r="Q22" i="6"/>
  <c r="P22" i="6"/>
  <c r="O22" i="6"/>
  <c r="N22" i="6"/>
  <c r="M22" i="6"/>
  <c r="L22" i="6"/>
  <c r="J22" i="6"/>
  <c r="I22" i="6"/>
  <c r="H22" i="6"/>
  <c r="G22" i="6"/>
  <c r="F22" i="6"/>
  <c r="E22" i="6"/>
  <c r="D22" i="6"/>
  <c r="C22" i="6"/>
  <c r="B22" i="6"/>
  <c r="A22" i="6"/>
  <c r="Y21" i="6"/>
  <c r="X21" i="6"/>
  <c r="W21" i="6"/>
  <c r="V21" i="6"/>
  <c r="U21" i="6"/>
  <c r="T21" i="6"/>
  <c r="S21" i="6"/>
  <c r="R21" i="6"/>
  <c r="Q21" i="6"/>
  <c r="P21" i="6"/>
  <c r="O21" i="6"/>
  <c r="N21" i="6"/>
  <c r="M21" i="6"/>
  <c r="J21" i="6"/>
  <c r="I21" i="6"/>
  <c r="H21" i="6"/>
  <c r="G21" i="6"/>
  <c r="F21" i="6"/>
  <c r="E21" i="6"/>
  <c r="D21" i="6"/>
  <c r="C21" i="6"/>
  <c r="B21" i="6"/>
  <c r="A21" i="6"/>
  <c r="Y20" i="6"/>
  <c r="X20" i="6"/>
  <c r="W20" i="6"/>
  <c r="V20" i="6"/>
  <c r="U20" i="6"/>
  <c r="T20" i="6"/>
  <c r="S20" i="6"/>
  <c r="R20" i="6"/>
  <c r="Q20" i="6"/>
  <c r="P20" i="6"/>
  <c r="O20" i="6"/>
  <c r="N20" i="6"/>
  <c r="M20" i="6"/>
  <c r="J20" i="6"/>
  <c r="I20" i="6"/>
  <c r="H20" i="6"/>
  <c r="G20" i="6"/>
  <c r="F20" i="6"/>
  <c r="E20" i="6"/>
  <c r="D20" i="6"/>
  <c r="C20" i="6"/>
  <c r="B20" i="6"/>
  <c r="A20" i="6"/>
  <c r="Y19" i="6"/>
  <c r="X19" i="6"/>
  <c r="W19" i="6"/>
  <c r="V19" i="6"/>
  <c r="U19" i="6"/>
  <c r="T19" i="6"/>
  <c r="S19" i="6"/>
  <c r="R19" i="6"/>
  <c r="Q19" i="6"/>
  <c r="P19" i="6"/>
  <c r="O19" i="6"/>
  <c r="N19" i="6"/>
  <c r="M19" i="6"/>
  <c r="L19" i="6"/>
  <c r="J19" i="6"/>
  <c r="I19" i="6"/>
  <c r="H19" i="6"/>
  <c r="G19" i="6"/>
  <c r="F19" i="6"/>
  <c r="E19" i="6"/>
  <c r="D19" i="6"/>
  <c r="C19" i="6"/>
  <c r="B19" i="6"/>
  <c r="A19" i="6"/>
  <c r="Y18" i="6"/>
  <c r="X18" i="6"/>
  <c r="W18" i="6"/>
  <c r="V18" i="6"/>
  <c r="U18" i="6"/>
  <c r="T18" i="6"/>
  <c r="S18" i="6"/>
  <c r="R18" i="6"/>
  <c r="P18" i="6"/>
  <c r="O18" i="6"/>
  <c r="N18" i="6"/>
  <c r="M18" i="6"/>
  <c r="J18" i="6"/>
  <c r="I18" i="6"/>
  <c r="H18" i="6"/>
  <c r="G18" i="6"/>
  <c r="F18" i="6"/>
  <c r="E18" i="6"/>
  <c r="D18" i="6"/>
  <c r="C18" i="6"/>
  <c r="B18" i="6"/>
  <c r="A18" i="6"/>
  <c r="Y17" i="6"/>
  <c r="X17" i="6"/>
  <c r="W17" i="6"/>
  <c r="V17" i="6"/>
  <c r="U17" i="6"/>
  <c r="T17" i="6"/>
  <c r="S17" i="6"/>
  <c r="R17" i="6"/>
  <c r="Q17" i="6"/>
  <c r="P17" i="6"/>
  <c r="O17" i="6"/>
  <c r="N17" i="6"/>
  <c r="M17" i="6"/>
  <c r="L17" i="6"/>
  <c r="J17" i="6"/>
  <c r="I17" i="6"/>
  <c r="H17" i="6"/>
  <c r="G17" i="6"/>
  <c r="F17" i="6"/>
  <c r="E17" i="6"/>
  <c r="D17" i="6"/>
  <c r="C17" i="6"/>
  <c r="B17" i="6"/>
  <c r="A17" i="6"/>
  <c r="Y16" i="6"/>
  <c r="X16" i="6"/>
  <c r="W16" i="6"/>
  <c r="V16" i="6"/>
  <c r="U16" i="6"/>
  <c r="T16" i="6"/>
  <c r="S16" i="6"/>
  <c r="R16" i="6"/>
  <c r="Q16" i="6"/>
  <c r="P16" i="6"/>
  <c r="O16" i="6"/>
  <c r="N16" i="6"/>
  <c r="M16" i="6"/>
  <c r="L16" i="6"/>
  <c r="K16" i="6"/>
  <c r="J16" i="6"/>
  <c r="I16" i="6"/>
  <c r="H16" i="6"/>
  <c r="G16" i="6"/>
  <c r="F16" i="6"/>
  <c r="E16" i="6"/>
  <c r="D16" i="6"/>
  <c r="C16" i="6"/>
  <c r="B16" i="6"/>
  <c r="A16" i="6"/>
  <c r="Y15" i="6"/>
  <c r="X15" i="6"/>
  <c r="W15" i="6"/>
  <c r="V15" i="6"/>
  <c r="U15" i="6"/>
  <c r="T15" i="6"/>
  <c r="S15" i="6"/>
  <c r="R15" i="6"/>
  <c r="Q15" i="6"/>
  <c r="P15" i="6"/>
  <c r="O15" i="6"/>
  <c r="N15" i="6"/>
  <c r="M15" i="6"/>
  <c r="L15" i="6"/>
  <c r="J15" i="6"/>
  <c r="I15" i="6"/>
  <c r="H15" i="6"/>
  <c r="G15" i="6"/>
  <c r="F15" i="6"/>
  <c r="E15" i="6"/>
  <c r="D15" i="6"/>
  <c r="C15" i="6"/>
  <c r="B15" i="6"/>
  <c r="A15" i="6"/>
  <c r="Y14" i="6"/>
  <c r="X14" i="6"/>
  <c r="W14" i="6"/>
  <c r="V14" i="6"/>
  <c r="U14" i="6"/>
  <c r="T14" i="6"/>
  <c r="S14" i="6"/>
  <c r="R14" i="6"/>
  <c r="Q14" i="6"/>
  <c r="P14" i="6"/>
  <c r="O14" i="6"/>
  <c r="N14" i="6"/>
  <c r="M14" i="6"/>
  <c r="K14" i="6"/>
  <c r="J14" i="6"/>
  <c r="I14" i="6"/>
  <c r="H14" i="6"/>
  <c r="G14" i="6"/>
  <c r="F14" i="6"/>
  <c r="E14" i="6"/>
  <c r="D14" i="6"/>
  <c r="C14" i="6"/>
  <c r="B14" i="6"/>
  <c r="A14" i="6"/>
  <c r="Y13" i="6"/>
  <c r="X13" i="6"/>
  <c r="W13" i="6"/>
  <c r="V13" i="6"/>
  <c r="U13" i="6"/>
  <c r="T13" i="6"/>
  <c r="S13" i="6"/>
  <c r="R13" i="6"/>
  <c r="Q13" i="6"/>
  <c r="P13" i="6"/>
  <c r="O13" i="6"/>
  <c r="N13" i="6"/>
  <c r="M13" i="6"/>
  <c r="J13" i="6"/>
  <c r="I13" i="6"/>
  <c r="H13" i="6"/>
  <c r="G13" i="6"/>
  <c r="F13" i="6"/>
  <c r="E13" i="6"/>
  <c r="D13" i="6"/>
  <c r="C13" i="6"/>
  <c r="B13" i="6"/>
  <c r="A13" i="6"/>
  <c r="Y12" i="6"/>
  <c r="X12" i="6"/>
  <c r="W12" i="6"/>
  <c r="V12" i="6"/>
  <c r="U12" i="6"/>
  <c r="T12" i="6"/>
  <c r="S12" i="6"/>
  <c r="R12" i="6"/>
  <c r="P12" i="6"/>
  <c r="O12" i="6"/>
  <c r="N12" i="6"/>
  <c r="M12" i="6"/>
  <c r="J12" i="6"/>
  <c r="I12" i="6"/>
  <c r="H12" i="6"/>
  <c r="G12" i="6"/>
  <c r="F12" i="6"/>
  <c r="E12" i="6"/>
  <c r="D12" i="6"/>
  <c r="C12" i="6"/>
  <c r="B12" i="6"/>
  <c r="A12" i="6"/>
  <c r="Y11" i="6"/>
  <c r="X11" i="6"/>
  <c r="W11" i="6"/>
  <c r="V11" i="6"/>
  <c r="U11" i="6"/>
  <c r="T11" i="6"/>
  <c r="S11" i="6"/>
  <c r="R11" i="6"/>
  <c r="P11" i="6"/>
  <c r="O11" i="6"/>
  <c r="N11" i="6"/>
  <c r="M11" i="6"/>
  <c r="J11" i="6"/>
  <c r="I11" i="6"/>
  <c r="H11" i="6"/>
  <c r="G11" i="6"/>
  <c r="F11" i="6"/>
  <c r="E11" i="6"/>
  <c r="D11" i="6"/>
  <c r="C11" i="6"/>
  <c r="B11" i="6"/>
  <c r="A11" i="6"/>
  <c r="Y10" i="6"/>
  <c r="X10" i="6"/>
  <c r="W10" i="6"/>
  <c r="V10" i="6"/>
  <c r="U10" i="6"/>
  <c r="T10" i="6"/>
  <c r="S10" i="6"/>
  <c r="R10" i="6"/>
  <c r="Q10" i="6"/>
  <c r="P10" i="6"/>
  <c r="O10" i="6"/>
  <c r="N10" i="6"/>
  <c r="M10" i="6"/>
  <c r="L10" i="6"/>
  <c r="J10" i="6"/>
  <c r="I10" i="6"/>
  <c r="H10" i="6"/>
  <c r="G10" i="6"/>
  <c r="F10" i="6"/>
  <c r="E10" i="6"/>
  <c r="D10" i="6"/>
  <c r="C10" i="6"/>
  <c r="B10" i="6"/>
  <c r="A10" i="6"/>
  <c r="Y9" i="6"/>
  <c r="X9" i="6"/>
  <c r="W9" i="6"/>
  <c r="V9" i="6"/>
  <c r="U9" i="6"/>
  <c r="T9" i="6"/>
  <c r="S9" i="6"/>
  <c r="R9" i="6"/>
  <c r="Q9" i="6"/>
  <c r="P9" i="6"/>
  <c r="O9" i="6"/>
  <c r="N9" i="6"/>
  <c r="M9" i="6"/>
  <c r="L9" i="6"/>
  <c r="J9" i="6"/>
  <c r="I9" i="6"/>
  <c r="H9" i="6"/>
  <c r="G9" i="6"/>
  <c r="F9" i="6"/>
  <c r="E9" i="6"/>
  <c r="D9" i="6"/>
  <c r="C9" i="6"/>
  <c r="B9" i="6"/>
  <c r="A9" i="6"/>
  <c r="Y8" i="6"/>
  <c r="X8" i="6"/>
  <c r="W8" i="6"/>
  <c r="V8" i="6"/>
  <c r="U8" i="6"/>
  <c r="T8" i="6"/>
  <c r="S8" i="6"/>
  <c r="R8" i="6"/>
  <c r="Q8" i="6"/>
  <c r="P8" i="6"/>
  <c r="O8" i="6"/>
  <c r="N8" i="6"/>
  <c r="M8" i="6"/>
  <c r="L8" i="6"/>
  <c r="J8" i="6"/>
  <c r="I8" i="6"/>
  <c r="H8" i="6"/>
  <c r="G8" i="6"/>
  <c r="F8" i="6"/>
  <c r="E8" i="6"/>
  <c r="D8" i="6"/>
  <c r="C8" i="6"/>
  <c r="B8" i="6"/>
  <c r="A8" i="6"/>
  <c r="Y7" i="6"/>
  <c r="X7" i="6"/>
  <c r="W7" i="6"/>
  <c r="V7" i="6"/>
  <c r="U7" i="6"/>
  <c r="T7" i="6"/>
  <c r="S7" i="6"/>
  <c r="R7" i="6"/>
  <c r="P7" i="6"/>
  <c r="O7" i="6"/>
  <c r="N7" i="6"/>
  <c r="M7" i="6"/>
  <c r="J7" i="6"/>
  <c r="I7" i="6"/>
  <c r="H7" i="6"/>
  <c r="G7" i="6"/>
  <c r="F7" i="6"/>
  <c r="E7" i="6"/>
  <c r="D7" i="6"/>
  <c r="C7" i="6"/>
  <c r="B7" i="6"/>
  <c r="A7" i="6"/>
  <c r="Y6" i="6"/>
  <c r="X6" i="6"/>
  <c r="W6" i="6"/>
  <c r="V6" i="6"/>
  <c r="U6" i="6"/>
  <c r="T6" i="6"/>
  <c r="S6" i="6"/>
  <c r="R6" i="6"/>
  <c r="Q6" i="6"/>
  <c r="P6" i="6"/>
  <c r="O6" i="6"/>
  <c r="N6" i="6"/>
  <c r="M6" i="6"/>
  <c r="J6" i="6"/>
  <c r="I6" i="6"/>
  <c r="H6" i="6"/>
  <c r="G6" i="6"/>
  <c r="F6" i="6"/>
  <c r="E6" i="6"/>
  <c r="D6" i="6"/>
  <c r="C6" i="6"/>
  <c r="B6" i="6"/>
  <c r="A6" i="6"/>
  <c r="Y5" i="6"/>
  <c r="X5" i="6"/>
  <c r="W5" i="6"/>
  <c r="V5" i="6"/>
  <c r="U5" i="6"/>
  <c r="T5" i="6"/>
  <c r="S5" i="6"/>
  <c r="R5" i="6"/>
  <c r="P5" i="6"/>
  <c r="O5" i="6"/>
  <c r="N5" i="6"/>
  <c r="M5" i="6"/>
  <c r="J5" i="6"/>
  <c r="I5" i="6"/>
  <c r="H5" i="6"/>
  <c r="G5" i="6"/>
  <c r="F5" i="6"/>
  <c r="E5" i="6"/>
  <c r="D5" i="6"/>
  <c r="C5" i="6"/>
  <c r="B5" i="6"/>
  <c r="A5" i="6"/>
  <c r="Y4" i="6"/>
  <c r="X4" i="6"/>
  <c r="W4" i="6"/>
  <c r="V4" i="6"/>
  <c r="U4" i="6"/>
  <c r="T4" i="6"/>
  <c r="S4" i="6"/>
  <c r="R4" i="6"/>
  <c r="P4" i="6"/>
  <c r="O4" i="6"/>
  <c r="N4" i="6"/>
  <c r="M4" i="6"/>
  <c r="J4" i="6"/>
  <c r="I4" i="6"/>
  <c r="H4" i="6"/>
  <c r="G4" i="6"/>
  <c r="F4" i="6"/>
  <c r="E4" i="6"/>
  <c r="D4" i="6"/>
  <c r="C4" i="6"/>
  <c r="B4" i="6"/>
  <c r="A4" i="6"/>
  <c r="Y3" i="6"/>
  <c r="X3" i="6"/>
  <c r="W3" i="6"/>
  <c r="V3" i="6"/>
  <c r="U3" i="6"/>
  <c r="T3" i="6"/>
  <c r="S3" i="6"/>
  <c r="R3" i="6"/>
  <c r="P3" i="6"/>
  <c r="O3" i="6"/>
  <c r="N3" i="6"/>
  <c r="M3" i="6"/>
  <c r="J3" i="6"/>
  <c r="I3" i="6"/>
  <c r="H3" i="6"/>
  <c r="G3" i="6"/>
  <c r="F3" i="6"/>
  <c r="E3" i="6"/>
  <c r="D3" i="6"/>
  <c r="C3" i="6"/>
  <c r="B3" i="6"/>
  <c r="A3" i="6"/>
  <c r="Y2" i="6"/>
  <c r="X2" i="6"/>
  <c r="W2" i="6"/>
  <c r="V2" i="6"/>
  <c r="U2" i="6"/>
  <c r="T2" i="6"/>
  <c r="S2" i="6"/>
  <c r="R2" i="6"/>
  <c r="P2" i="6"/>
  <c r="O2" i="6"/>
  <c r="N2" i="6"/>
  <c r="M2" i="6"/>
  <c r="J2" i="6"/>
  <c r="I2" i="6"/>
  <c r="H2" i="6"/>
  <c r="G2" i="6"/>
  <c r="F2" i="6"/>
  <c r="E2" i="6"/>
  <c r="D2" i="6"/>
  <c r="C2" i="6"/>
  <c r="B2" i="6"/>
  <c r="A2" i="6"/>
  <c r="Y1" i="6"/>
  <c r="X1" i="6"/>
  <c r="W1" i="6"/>
  <c r="V1" i="6"/>
  <c r="U1" i="6"/>
  <c r="T1" i="6"/>
  <c r="S1" i="6"/>
  <c r="R1" i="6"/>
  <c r="Q1" i="6"/>
  <c r="P1" i="6"/>
  <c r="O1" i="6"/>
  <c r="N1" i="6"/>
  <c r="M1" i="6"/>
  <c r="L1" i="6"/>
  <c r="K1" i="6"/>
  <c r="J1" i="6"/>
  <c r="I1" i="6"/>
  <c r="H1" i="6"/>
  <c r="G1" i="6"/>
  <c r="F1" i="6"/>
  <c r="E1" i="6"/>
  <c r="D1" i="6"/>
  <c r="C1" i="6"/>
  <c r="B1" i="6"/>
  <c r="A1" i="6"/>
</calcChain>
</file>

<file path=xl/sharedStrings.xml><?xml version="1.0" encoding="utf-8"?>
<sst xmlns="http://schemas.openxmlformats.org/spreadsheetml/2006/main" count="13091" uniqueCount="3283">
  <si>
    <t>ID</t>
  </si>
  <si>
    <t>Name</t>
  </si>
  <si>
    <t>Translation</t>
  </si>
  <si>
    <t>Type</t>
  </si>
  <si>
    <t>Description</t>
  </si>
  <si>
    <t>Sun Cust</t>
  </si>
  <si>
    <t>Tought</t>
  </si>
  <si>
    <t>Damage</t>
  </si>
  <si>
    <t>Recarga</t>
  </si>
  <si>
    <t>Plant Food Effect</t>
  </si>
  <si>
    <t>Hint</t>
  </si>
  <si>
    <t>Special</t>
  </si>
  <si>
    <t>Single use</t>
  </si>
  <si>
    <t>Instant use</t>
  </si>
  <si>
    <t>Sun Production</t>
  </si>
  <si>
    <t>Rarity</t>
  </si>
  <si>
    <t>Especial</t>
  </si>
  <si>
    <t>Plant_Origin</t>
  </si>
  <si>
    <t>Origin</t>
  </si>
  <si>
    <t>Var Tought</t>
  </si>
  <si>
    <t>Var Damage</t>
  </si>
  <si>
    <t>Code</t>
  </si>
  <si>
    <t>Classification</t>
  </si>
  <si>
    <t>Appearances</t>
  </si>
  <si>
    <t>img_link</t>
  </si>
  <si>
    <t>Peashooter</t>
  </si>
  <si>
    <t>Disparervilha</t>
  </si>
  <si>
    <t>Dispara</t>
  </si>
  <si>
    <t>Dispara uma ervilha contra os zumbis.</t>
  </si>
  <si>
    <t>Shoots a barrage of fast peas.</t>
  </si>
  <si>
    <t>Common</t>
  </si>
  <si>
    <t>Pea</t>
  </si>
  <si>
    <t>Natural</t>
  </si>
  <si>
    <t>None</t>
  </si>
  <si>
    <t>peashooter</t>
  </si>
  <si>
    <t>Ranged</t>
  </si>
  <si>
    <t>PvZ, PvZ 2, PvZ 2 Chinease, PvZ Heroes, PvZ GW, PvZ GW 2, PvZA, PvZ BfN, PvZ 3</t>
  </si>
  <si>
    <t>https://static.wikia.nocookie.net/plantsvszombies/images/c/ca/Peashooter2.png/revision/latest?cb=20221126065143</t>
  </si>
  <si>
    <t>Sunflower</t>
  </si>
  <si>
    <t>Girassol</t>
  </si>
  <si>
    <t>Esclarecida</t>
  </si>
  <si>
    <t>Produz sóis extras.</t>
  </si>
  <si>
    <t>Immediately produces a large amount of sun.</t>
  </si>
  <si>
    <t>Flower</t>
  </si>
  <si>
    <t>sunflower</t>
  </si>
  <si>
    <t>Sun</t>
  </si>
  <si>
    <t>https://static.wikia.nocookie.net/plantsvszombies/images/d/de/Sunflower2.png/revision/latest?cb=20221126064943</t>
  </si>
  <si>
    <t>Wall-nut</t>
  </si>
  <si>
    <t>Noz-obstáculo</t>
  </si>
  <si>
    <t>Endurecida</t>
  </si>
  <si>
    <t>Fornece uma proteção básica para as plantas.</t>
  </si>
  <si>
    <t>Heals itself and gains a hard armor shell.</t>
  </si>
  <si>
    <t>Nut</t>
  </si>
  <si>
    <t>wallnut</t>
  </si>
  <si>
    <t>Tough</t>
  </si>
  <si>
    <t>PvZ, PvZ 2, PvZ 2 Chinease, PvZ Heroes, PvZ GW, PvZ GW 2, PvZA, PvZ 3</t>
  </si>
  <si>
    <t>https://static.wikia.nocookie.net/plantsvszombies/images/1/17/Wall-nut2.png/revision/latest?cb=20221126065345</t>
  </si>
  <si>
    <t>Potato Mine</t>
  </si>
  <si>
    <t>Batata Mina</t>
  </si>
  <si>
    <t>Bombarda</t>
  </si>
  <si>
    <t>Se arma e explode causando dano.</t>
  </si>
  <si>
    <t>Immediately arms and spawns multiple copies of itself.</t>
  </si>
  <si>
    <t>Root</t>
  </si>
  <si>
    <t>potatomine</t>
  </si>
  <si>
    <t>PvZ, PvZ 2, PvZ 2 Chinease, PvZ Heroes, PvZ GW, PvZ GW 2, PvZ BfN</t>
  </si>
  <si>
    <t>https://static.wikia.nocookie.net/plantsvszombies/images/a/a0/Potato_Mine2.png/revision/latest?cb=20221126065516</t>
  </si>
  <si>
    <t>Cabbage-pult</t>
  </si>
  <si>
    <t>Repolho-pulta</t>
  </si>
  <si>
    <t>Arma</t>
  </si>
  <si>
    <t>Ataca os zumbis em parábola.</t>
  </si>
  <si>
    <t>Launches multiple cabbages at every zombie, dealing heavy damage.</t>
  </si>
  <si>
    <t>explosion</t>
  </si>
  <si>
    <t>Leaf</t>
  </si>
  <si>
    <t>cabbagepult</t>
  </si>
  <si>
    <t>PvZ, PvZ 2, PvZ 2 Chinease, PvZ Heroes, PvZ 3</t>
  </si>
  <si>
    <t>https://static.wikia.nocookie.net/plantsvszombies/images/7/76/Cabbage-pult2.png/revision/latest?cb=20221206062917</t>
  </si>
  <si>
    <t>Bloomerang</t>
  </si>
  <si>
    <t>Flormerangue</t>
  </si>
  <si>
    <t>Perfura</t>
  </si>
  <si>
    <t>Ataca até 3 zumbis duas vezes por ataque.</t>
  </si>
  <si>
    <t>Throws boomerangs in four directions damaging all zombies in the area.</t>
  </si>
  <si>
    <t>bloomerang</t>
  </si>
  <si>
    <t>PvZ 2, PvZ 2 Chinease, PvZ Heroes</t>
  </si>
  <si>
    <t>https://static.wikia.nocookie.net/plantsvszombies/images/5/57/Bloomerang2.png/revision/latest?cb=20221126070057</t>
  </si>
  <si>
    <t>Iceberg Lettuce</t>
  </si>
  <si>
    <t>Alfice Berg</t>
  </si>
  <si>
    <t>Resfriada</t>
  </si>
  <si>
    <t>Congela completamente um zumbi.</t>
  </si>
  <si>
    <t>Freezes or chills every zombie on lawn.</t>
  </si>
  <si>
    <t>Special - Explodes, temporarily freezing a zombie</t>
  </si>
  <si>
    <t>freezing</t>
  </si>
  <si>
    <t>iceburg</t>
  </si>
  <si>
    <t>https://static.wikia.nocookie.net/plantsvszombies/images/d/d0/Iceberg_Lettuce2.png/revision/latest?cb=20221126070154</t>
  </si>
  <si>
    <t>Grave Buster</t>
  </si>
  <si>
    <t>Come Cova</t>
  </si>
  <si>
    <t>Refrea</t>
  </si>
  <si>
    <t>Come uma cova rapidamente.</t>
  </si>
  <si>
    <t>No Plant Food effect.</t>
  </si>
  <si>
    <t>Special - Can only be Planted on Tombstones.
Special - Removes graves</t>
  </si>
  <si>
    <t>grave</t>
  </si>
  <si>
    <t>gravebuster</t>
  </si>
  <si>
    <t>PvZ, PvZ 2, PvZ 2 Chinease, PvZ Heroes</t>
  </si>
  <si>
    <t>https://static.wikia.nocookie.net/plantsvszombies/images/1/1d/Grave_Buster2.png/revision/latest?cb=20221126070428</t>
  </si>
  <si>
    <t>Bonk Choy</t>
  </si>
  <si>
    <t>Repolho Boxeador</t>
  </si>
  <si>
    <t>Surra</t>
  </si>
  <si>
    <t>Golpeia freneticamente os zumbis próximos.</t>
  </si>
  <si>
    <t>Rapidly punches in a 3x3 area around it, dealing heavy damage.</t>
  </si>
  <si>
    <t>Special - Can attack ahead or behind</t>
  </si>
  <si>
    <t>attack_backwards</t>
  </si>
  <si>
    <t>bonkchoy</t>
  </si>
  <si>
    <t>Vanguard</t>
  </si>
  <si>
    <t>PvZ 2, PvZ 2 Chinease, PvZ Heroes, PvZ GW 2, PvZ BfN, PvZ 3</t>
  </si>
  <si>
    <t>https://static.wikia.nocookie.net/plantsvszombies/images/7/75/Bonk_Choy2.png/revision/latest?cb=20221126070903</t>
  </si>
  <si>
    <t>Repeater</t>
  </si>
  <si>
    <t>Duplaervilha</t>
  </si>
  <si>
    <t>Dispara duas ervilha contra os zumbis.</t>
  </si>
  <si>
    <t>Shoots two volleys of peas at zombies in its row.</t>
  </si>
  <si>
    <t>repeater</t>
  </si>
  <si>
    <t>https://static.wikia.nocookie.net/plantsvszombies/images/9/9f/Repeater2.png/revision/latest?cb=20221126071245</t>
  </si>
  <si>
    <t>Twin Sunflower</t>
  </si>
  <si>
    <t>Girassol Gêmeo</t>
  </si>
  <si>
    <t>Uncommon</t>
  </si>
  <si>
    <t>twinsunflower</t>
  </si>
  <si>
    <t>https://static.wikia.nocookie.net/plantsvszombies/images/1/1e/Twin_Sunflower2.png/revision/latest?cb=20221126071524</t>
  </si>
  <si>
    <t>Kernel-pult</t>
  </si>
  <si>
    <t>Milho-pulta</t>
  </si>
  <si>
    <t>Ataca zumbis em parábola podendo paralizá-los.</t>
  </si>
  <si>
    <t>Triggers a butter storm that stuns every zombie on the lawn for a few seconds.</t>
  </si>
  <si>
    <t>butter</t>
  </si>
  <si>
    <t>Fruit</t>
  </si>
  <si>
    <t>kernelpult</t>
  </si>
  <si>
    <t>https://static.wikia.nocookie.net/plantsvszombies/images/b/b4/Kernel-pult2.png/revision/latest?cb=20221126072120</t>
  </si>
  <si>
    <t>Snapdragon</t>
  </si>
  <si>
    <t>Boca-de-Dragão</t>
  </si>
  <si>
    <t>Aquecida</t>
  </si>
  <si>
    <t>Incendeia zumbis próximos.</t>
  </si>
  <si>
    <t>Sets the area in front of it on fire, dealing heavy damage to zombies.</t>
  </si>
  <si>
    <t>Damages all zombies in the 6 tiles in front of it</t>
  </si>
  <si>
    <t>dragon, area-effect</t>
  </si>
  <si>
    <t>snapdragon</t>
  </si>
  <si>
    <t>PvZ 2, PvZ 2 Chinease, PvZ Heroes, PvZ GW 2, PvZ BfN</t>
  </si>
  <si>
    <t>https://static.wikia.nocookie.net/plantsvszombies/images/f/f8/Snapdragon2.png/revision/latest?cb=20221126072250</t>
  </si>
  <si>
    <t>Spikeweed</t>
  </si>
  <si>
    <t>Erva-espinho</t>
  </si>
  <si>
    <t>Machuca os zumbis que passam por ele.</t>
  </si>
  <si>
    <t>Spikes push all zombies in its lane onto itself, damaging them in the process.</t>
  </si>
  <si>
    <t>Special - Can't be eaten by zombies</t>
  </si>
  <si>
    <t>grounded, spikes</t>
  </si>
  <si>
    <t>spikeweed</t>
  </si>
  <si>
    <t>https://static.wikia.nocookie.net/plantsvszombies/images/0/07/Spikeweed2.png/revision/latest?cb=20221206063052</t>
  </si>
  <si>
    <t>Spring Bean</t>
  </si>
  <si>
    <t>Feijão Mola</t>
  </si>
  <si>
    <t>Empura um zumbi, entrando em modo de descanso.</t>
  </si>
  <si>
    <t>Knocks back all zombies on the lawn back a tile or into the water.</t>
  </si>
  <si>
    <t>Gets sleepy after springing</t>
  </si>
  <si>
    <t>Special - Pushes zombies back, or into the water</t>
  </si>
  <si>
    <t>control</t>
  </si>
  <si>
    <t>Bean</t>
  </si>
  <si>
    <t>springbean</t>
  </si>
  <si>
    <t>https://static.wikia.nocookie.net/plantsvszombies/images/5/5a/Spring_Bean2.png/revision/latest?cb=20221206063417</t>
  </si>
  <si>
    <t>Coconout Cannon</t>
  </si>
  <si>
    <t>Canhão Coco</t>
  </si>
  <si>
    <t>Dispara um projétil poderoso, entrando em modo de recarga.</t>
  </si>
  <si>
    <t>Fires a huge cannonball that pushes the zombies it hits to the right side of the lawn and then explodes.</t>
  </si>
  <si>
    <t>Special - On impact, explodes in medium area</t>
  </si>
  <si>
    <t>explosion, area-effect</t>
  </si>
  <si>
    <t>coconutcannon</t>
  </si>
  <si>
    <t>PvZ 2, PvZ 2 Chinease</t>
  </si>
  <si>
    <t>https://static.wikia.nocookie.net/plantsvszombies/images/2/21/Coconut_Cannon2.png/revision/latest?cb=20221206063716</t>
  </si>
  <si>
    <t>Threepeater</t>
  </si>
  <si>
    <t>Tridisparervilha</t>
  </si>
  <si>
    <t>Dispara uma ervilha contra os zumbis desta fila e das adjacentes.</t>
  </si>
  <si>
    <t>Shoots a spread of peas in multiple directions, dealing damage.</t>
  </si>
  <si>
    <t>threepeater</t>
  </si>
  <si>
    <t>https://static.wikia.nocookie.net/plantsvszombies/images/e/ed/Threepeater2.png/revision/latest?cb=20221206063521</t>
  </si>
  <si>
    <t>Spikerock</t>
  </si>
  <si>
    <t>Pedra-Espinho</t>
  </si>
  <si>
    <t>Machuca os zumbis que passam por ele sendo mais resistente.</t>
  </si>
  <si>
    <t>Metal spikes push all zombies in its lane onto itself, damaging them in the process.</t>
  </si>
  <si>
    <t>Rare</t>
  </si>
  <si>
    <t>spikerock</t>
  </si>
  <si>
    <t>PvZ, PvZ 2, PvZ 2 Chinease</t>
  </si>
  <si>
    <t>https://static.wikia.nocookie.net/plantsvszombies/images/0/00/Spikerock2.png/revision/latest?cb=20221206063144</t>
  </si>
  <si>
    <t>Cherry Bomb</t>
  </si>
  <si>
    <t>Cereja Bomba</t>
  </si>
  <si>
    <t>Explode em uma área 3x3.</t>
  </si>
  <si>
    <t>Berry</t>
  </si>
  <si>
    <t>cherry_bomb</t>
  </si>
  <si>
    <t>PvZ, PvZ 2, PvZ 2 Chinease, PvZ Heroes, PvZA, PvZ 3</t>
  </si>
  <si>
    <t>https://static.wikia.nocookie.net/plantsvszombies/images/9/93/Cherry_Bomb2.png/revision/latest?cb=20221206063300</t>
  </si>
  <si>
    <t>Split Pea</t>
  </si>
  <si>
    <t>Bi Disparervilha</t>
  </si>
  <si>
    <t>Dispara uma ervilha contra o zumbi na dianteira, e duas contra zumbis na retaguarda.</t>
  </si>
  <si>
    <t>Shoots a barrage of peas at both the front and behind the plant, then fires a giant pea behind.</t>
  </si>
  <si>
    <t>splitpea</t>
  </si>
  <si>
    <t>https://static.wikia.nocookie.net/plantsvszombies/images/4/46/Split_Pea2.png/revision/latest?cb=20160831004326</t>
  </si>
  <si>
    <t>Chili Bean</t>
  </si>
  <si>
    <t>Feijão Picante</t>
  </si>
  <si>
    <t>Envenenada</t>
  </si>
  <si>
    <t>Nocauteia o zumbi que a devorar gerando uma nuvem paralizante.</t>
  </si>
  <si>
    <t>Launches out 3 Chili Bean clones to random locations on the lawn.</t>
  </si>
  <si>
    <t>Special - Eating zombie is destroyed and releases stunning gas</t>
  </si>
  <si>
    <t>poison</t>
  </si>
  <si>
    <t>chilibean</t>
  </si>
  <si>
    <t>PvZ 2, PvZ 2 Chinease, PvZ GW, PvZ GW 2, PvZ BfN, PvZ 3</t>
  </si>
  <si>
    <t>https://static.wikia.nocookie.net/plantsvszombies/images/a/a1/Chili_Bean2.png/revision/latest?cb=20160827004139</t>
  </si>
  <si>
    <t>Pea Pod</t>
  </si>
  <si>
    <t>Vagem</t>
  </si>
  <si>
    <t>Pode disparar até 5 vezes, dependendo do número de cargas.</t>
  </si>
  <si>
    <t>Summons a giant Peashooter that shoots five giant peas.</t>
  </si>
  <si>
    <t>Special - Increases rate of fire with multiple plantings</t>
  </si>
  <si>
    <t>peapod</t>
  </si>
  <si>
    <t>https://static.wikia.nocookie.net/plantsvszombies/images/1/13/Pea_Pod2.png/revision/latest?cb=20141116195736</t>
  </si>
  <si>
    <t>Lightning Reed</t>
  </si>
  <si>
    <t>Junco Relâmpago</t>
  </si>
  <si>
    <t>Fila</t>
  </si>
  <si>
    <t>Eletruca zumbis em cadeia.</t>
  </si>
  <si>
    <t>Create a storm cloud that damages random zombies on the lawn.</t>
  </si>
  <si>
    <t>chain_attack</t>
  </si>
  <si>
    <t>lightningreed</t>
  </si>
  <si>
    <t>https://static.wikia.nocookie.net/plantsvszombies/images/a/a1/Lightning_Reed2.png/revision/latest?cb=20181230181008</t>
  </si>
  <si>
    <t>Melon-pult</t>
  </si>
  <si>
    <t>Melância-pulta</t>
  </si>
  <si>
    <t>Ataca zumbis em parábola com dano poderoso em área.</t>
  </si>
  <si>
    <t>Launches melons at every zombie, dealing both damage and splash damage on impact.</t>
  </si>
  <si>
    <t>area-effect</t>
  </si>
  <si>
    <t>melonpult</t>
  </si>
  <si>
    <t>https://static.wikia.nocookie.net/plantsvszombies/images/f/fe/Melon-pult2.png/revision/latest?cb=20141116195851</t>
  </si>
  <si>
    <t>Tall-nut</t>
  </si>
  <si>
    <t>Noz-muralha</t>
  </si>
  <si>
    <t>Fornece uma proteção para as plantas.</t>
  </si>
  <si>
    <t>Heals itself and gains an extra hard armor shell.</t>
  </si>
  <si>
    <t>Special - Blocks launched imps and flying zombies</t>
  </si>
  <si>
    <t>tallnut</t>
  </si>
  <si>
    <t>https://static.wikia.nocookie.net/plantsvszombies/images/a/ab/Tall-nut2.png/revision/latest?cb=20141116195809</t>
  </si>
  <si>
    <t>Winter Melon</t>
  </si>
  <si>
    <t>Gelância</t>
  </si>
  <si>
    <t>Ataca zumbis em parábola com dano poderoso em área e causando resfreamento.</t>
  </si>
  <si>
    <t>Launches frozen melons at every zombie, dealing both damage and splash damage on impact.</t>
  </si>
  <si>
    <t>area-effect, chilling</t>
  </si>
  <si>
    <t>wintermelon</t>
  </si>
  <si>
    <t>https://static.wikia.nocookie.net/plantsvszombies/images/2/24/Winter_Melon2.png/revision/latest?cb=20141116195910</t>
  </si>
  <si>
    <t>Hot Potato</t>
  </si>
  <si>
    <t>Batata Quente</t>
  </si>
  <si>
    <t>Esquenta plantas congeladas.</t>
  </si>
  <si>
    <t>Special - Melts an ice block</t>
  </si>
  <si>
    <t>warm</t>
  </si>
  <si>
    <t>hotpotato</t>
  </si>
  <si>
    <t>https://static.wikia.nocookie.net/plantsvszombies/images/2/2b/Hot_Potato2.png/revision/latest?cb=20150110113541</t>
  </si>
  <si>
    <t>Pepper-pult</t>
  </si>
  <si>
    <t>Pimentapulta</t>
  </si>
  <si>
    <t>Ataca zumbis em parábola e aquece plantas próximas.</t>
  </si>
  <si>
    <t>Launchs several giant fire peppers at random zombies that deal moderate splash damage on impact.</t>
  </si>
  <si>
    <t>Special - Immune to frost
Special - Warms nearby plants</t>
  </si>
  <si>
    <t>pepperpult</t>
  </si>
  <si>
    <t>https://static.wikia.nocookie.net/plantsvszombies/images/8/84/Pepper-pult2.png/revision/latest?cb=20150110133328</t>
  </si>
  <si>
    <t>Chard Guard</t>
  </si>
  <si>
    <t>Bateguarda</t>
  </si>
  <si>
    <t>Afasta zumbis até 3 vezes.</t>
  </si>
  <si>
    <t>Regenerates leaves and hurls zombies in front, dealing a small amount of damage.</t>
  </si>
  <si>
    <t>chardguard</t>
  </si>
  <si>
    <t>https://static.wikia.nocookie.net/plantsvszombies/images/d/db/Chard_Guard2.png/revision/latest?cb=20230320034950</t>
  </si>
  <si>
    <t>Stunion</t>
  </si>
  <si>
    <t>Cebafão</t>
  </si>
  <si>
    <t>Paraliza zumbis próximos.</t>
  </si>
  <si>
    <t>Releases a large burst of gas in a forward area, moderately stunning all zombies.</t>
  </si>
  <si>
    <t>Special - Stuns nearby zombies.</t>
  </si>
  <si>
    <t>Epic</t>
  </si>
  <si>
    <t>stun, area-effect</t>
  </si>
  <si>
    <t>Vegetable</t>
  </si>
  <si>
    <t>stunion</t>
  </si>
  <si>
    <t>https://static.wikia.nocookie.net/plantsvszombies/images/a/ae/Stunion2.png/revision/latest?cb=20230219060147</t>
  </si>
  <si>
    <t>Rotobaga</t>
  </si>
  <si>
    <t>Nabolhadora</t>
  </si>
  <si>
    <t>Dispara quatro ataques em quatro diagonais.</t>
  </si>
  <si>
    <t>Shoots multiple huge rotobagas in four directions.</t>
  </si>
  <si>
    <t>flying</t>
  </si>
  <si>
    <t>xshot</t>
  </si>
  <si>
    <t>https://static.wikia.nocookie.net/plantsvszombies/images/7/79/Rotobaga2.png/revision/latest?cb=20220223145124</t>
  </si>
  <si>
    <t>Red Stinger</t>
  </si>
  <si>
    <t>Ferrão Escarlate</t>
  </si>
  <si>
    <t>Dispara até duas vezes e/ou protege, dependendo de sua posição no campo.</t>
  </si>
  <si>
    <t>Fires a laser beam that pierces through all zombies in its column, dealing damage and temporarily slows their movement.</t>
  </si>
  <si>
    <t>redstinger</t>
  </si>
  <si>
    <t>https://static.wikia.nocookie.net/plantsvszombies/images/6/66/Red_Stinger2.png/revision/latest?cb=20160914232205</t>
  </si>
  <si>
    <t>A.K.E.E.</t>
  </si>
  <si>
    <t>Dispara em parábola, acertando até 3 zumbis.</t>
  </si>
  <si>
    <t>Lobs a large seed that deals damage to zombies on every bounce.</t>
  </si>
  <si>
    <t>akee</t>
  </si>
  <si>
    <t>https://static.wikia.nocookie.net/plantsvszombies/images/7/7f/A.K.E.E.2.png/revision/latest?cb=20160902061921</t>
  </si>
  <si>
    <t>Endurian</t>
  </si>
  <si>
    <t>Cendurião</t>
  </si>
  <si>
    <t>Fornece proteção quanto ataca os zumbis que a ataquem.</t>
  </si>
  <si>
    <t>Heals itself and permanently gains additional armor and damage.</t>
  </si>
  <si>
    <t>counter, spikes</t>
  </si>
  <si>
    <t>endurian</t>
  </si>
  <si>
    <t>https://static.wikia.nocookie.net/plantsvszombies/images/5/52/Endurian2.png/revision/latest?cb=20160831005313</t>
  </si>
  <si>
    <t>Stallia</t>
  </si>
  <si>
    <t>Atordália</t>
  </si>
  <si>
    <t>Atordoa os zumbis em uma área 3x3.</t>
  </si>
  <si>
    <t>Slows every zombie on the lawn.</t>
  </si>
  <si>
    <t>Special - Slows nearby zombies</t>
  </si>
  <si>
    <t>slowing, poison, area-effect</t>
  </si>
  <si>
    <t>stallia</t>
  </si>
  <si>
    <t>https://static.wikia.nocookie.net/plantsvszombies/images/c/cd/Stallia2.png/revision/latest?cb=20160502044126</t>
  </si>
  <si>
    <t>Gold Leaf</t>
  </si>
  <si>
    <t>Folha de Ouro</t>
  </si>
  <si>
    <t>Gera um quadrado solar, se houver uma planta sobre ele, gera sóis adicionais.</t>
  </si>
  <si>
    <t>grounded</t>
  </si>
  <si>
    <t>goldleaf</t>
  </si>
  <si>
    <t>https://static.wikia.nocookie.net/plantsvszombies/images/4/4e/Gold_Leaf2.png/revision/latest?cb=20150626074822</t>
  </si>
  <si>
    <t>Lazer Bean</t>
  </si>
  <si>
    <t>Feijão Lazer</t>
  </si>
  <si>
    <t>Dispara um feixe que golpeia todos os oponentes.</t>
  </si>
  <si>
    <t>Fires a huge laser beam at all zombies in the row, dealing huge damage to each zombie.</t>
  </si>
  <si>
    <t>Range all zombies in a lane</t>
  </si>
  <si>
    <t>laser_bean</t>
  </si>
  <si>
    <t>https://static.wikia.nocookie.net/plantsvszombies/images/9/9b/Laser_Bean2.png/revision/latest?cb=20141117200616</t>
  </si>
  <si>
    <t>Blover</t>
  </si>
  <si>
    <t>Turbinada</t>
  </si>
  <si>
    <t>Remove todos os zumbis voadores.</t>
  </si>
  <si>
    <t>Special - Blows away all flying zombies</t>
  </si>
  <si>
    <t>blover</t>
  </si>
  <si>
    <t>https://static.wikia.nocookie.net/plantsvszombies/images/b/b2/Blover2.png/revision/latest?cb=20141116200213</t>
  </si>
  <si>
    <t>Citron</t>
  </si>
  <si>
    <t>Cidra</t>
  </si>
  <si>
    <t>Dispara uma poderosa esfera de plasma com baixa frequência.</t>
  </si>
  <si>
    <t>Shoots a giant plasma ball that can destroy most mech type zombies and flings zombies to adjacent columns.</t>
  </si>
  <si>
    <t>citron</t>
  </si>
  <si>
    <t>https://static.wikia.nocookie.net/plantsvszombies/images/7/74/Citron2.png/revision/latest?cb=20181230184815</t>
  </si>
  <si>
    <t>E.M.Peach</t>
  </si>
  <si>
    <t>Pêss.E.M.</t>
  </si>
  <si>
    <t>Faz com que zumbis máquina entrem em curto por um período de tempo.</t>
  </si>
  <si>
    <t>Special - Disables machines</t>
  </si>
  <si>
    <t>control, area-effect</t>
  </si>
  <si>
    <t>empea</t>
  </si>
  <si>
    <t>PvZ 2, PvZ 2 Chinease, PvZ GW 2, PvZ BfN</t>
  </si>
  <si>
    <t>https://static.wikia.nocookie.net/plantsvszombies/images/5/5d/E.M.Peach2.png/revision/latest?cb=20150519210717</t>
  </si>
  <si>
    <t>Infi-nut</t>
  </si>
  <si>
    <t>Infinoz</t>
  </si>
  <si>
    <t>Fornece uma proteção básica para as plantas, além disso é capaz de regenerar a sua própria vida.</t>
  </si>
  <si>
    <t>Fully heals itself and creates a shield to protect the column from incoming attacks.</t>
  </si>
  <si>
    <t>Special - Regenerates health over time</t>
  </si>
  <si>
    <t>heals</t>
  </si>
  <si>
    <t>holonut</t>
  </si>
  <si>
    <t>https://static.wikia.nocookie.net/plantsvszombies/images/2/27/Infi-nut2.png/revision/latest?cb=20141117200749</t>
  </si>
  <si>
    <t>Magnifying
Grass</t>
  </si>
  <si>
    <t>Lente de Grama</t>
  </si>
  <si>
    <t>Converte sol em energia para um disparo poderoso.</t>
  </si>
  <si>
    <t>Shoots an energy beam that deals damage to zombies in its row. The beam duration increases based on the number of sun-producing plants on the lawn.</t>
  </si>
  <si>
    <t>Special - Tap to spend sun for an attack</t>
  </si>
  <si>
    <t>magnifyinggrass</t>
  </si>
  <si>
    <t>https://static.wikia.nocookie.net/plantsvszombies/images/2/27/Magnifying_Grass2.png/revision/latest?cb=20181230190842</t>
  </si>
  <si>
    <t>Tile Turnip</t>
  </si>
  <si>
    <t>Quadranabo</t>
  </si>
  <si>
    <t>Encanta</t>
  </si>
  <si>
    <t>Gera um quadrado do poder.</t>
  </si>
  <si>
    <t>Sun cost multiplies 2 for every planted Tile Turnip</t>
  </si>
  <si>
    <t>powerplant</t>
  </si>
  <si>
    <t>Support</t>
  </si>
  <si>
    <t>https://static.wikia.nocookie.net/plantsvszombies/images/f/fa/Tile_Turnip2.png/revision/latest?cb=20181230192657</t>
  </si>
  <si>
    <t>Sun-shroom</t>
  </si>
  <si>
    <t>Solargumelo</t>
  </si>
  <si>
    <t>Produz sóis adicionais a medida que vai crescendo.</t>
  </si>
  <si>
    <t>Instantly grows to full size and produces a large amount of sun.</t>
  </si>
  <si>
    <t>Murshroom</t>
  </si>
  <si>
    <t>sunshroom</t>
  </si>
  <si>
    <t>https://static.wikia.nocookie.net/plantsvszombies/images/e/e0/Sun-shroom2.png/revision/latest?cb=20190221195748</t>
  </si>
  <si>
    <t>Puff-shroom</t>
  </si>
  <si>
    <t>Soprogumelo</t>
  </si>
  <si>
    <t>Dispara esporos contra zumbis por um período limitado de tempo.</t>
  </si>
  <si>
    <t>All Puff-shroom on the lawn will shoot a spore barrage and resets their life duration.</t>
  </si>
  <si>
    <t>Special - Lives for a limited time</t>
  </si>
  <si>
    <t>fade</t>
  </si>
  <si>
    <t>puffshroom</t>
  </si>
  <si>
    <t>https://static.wikia.nocookie.net/plantsvszombies/images/2/22/Puff-shroom2.png/revision/latest?cb=20190901141819</t>
  </si>
  <si>
    <t>Fume-shroom</t>
  </si>
  <si>
    <t>Gasogumelo</t>
  </si>
  <si>
    <t>Dispara uma rajada de gás através dos zumbis.</t>
  </si>
  <si>
    <t>Sprays a stream of fumes that deal damage and pushes all zombies back.</t>
  </si>
  <si>
    <t>fumeshroom</t>
  </si>
  <si>
    <t>PvZ, PvZ 2, PvZ 2 Chinease, PvZ Heroes, PvZ GW 2, PvZ BfN</t>
  </si>
  <si>
    <t>https://static.wikia.nocookie.net/plantsvszombies/images/2/23/Fume-shroom2.png/revision/latest?cb=20230517000416</t>
  </si>
  <si>
    <t>Sun Bean</t>
  </si>
  <si>
    <t>Feijão Solar</t>
  </si>
  <si>
    <t>Quando o zumbi que comer esta planta for atacado, ele gerará sóis adicionais.</t>
  </si>
  <si>
    <t>Increase the amount of sun produces with eaten.</t>
  </si>
  <si>
    <t>sunbean</t>
  </si>
  <si>
    <t>https://static.wikia.nocookie.net/plantsvszombies/images/4/4d/Sun_Bean2.png/revision/latest?cb=20190221195735</t>
  </si>
  <si>
    <t>Magnet-shroom</t>
  </si>
  <si>
    <t>Imãgumelo</t>
  </si>
  <si>
    <t>Remove objetos metálicos de zumbis.</t>
  </si>
  <si>
    <t>Remove and toss all metal objects on zombies within range, dealing damage.</t>
  </si>
  <si>
    <t>Special - Removes metal objects from zombies</t>
  </si>
  <si>
    <t>magnetshroom</t>
  </si>
  <si>
    <t>https://static.wikia.nocookie.net/plantsvszombies/images/4/49/Magnet-shroom2.png/revision/latest?cb=20160905222641</t>
  </si>
  <si>
    <t>Phat Beet</t>
  </si>
  <si>
    <t>Beat Rhaba</t>
  </si>
  <si>
    <t>Bate no chão criando uma onda de som.</t>
  </si>
  <si>
    <t>Thump the ground, dealing damage to surrounding zombies.</t>
  </si>
  <si>
    <t>phatbeet</t>
  </si>
  <si>
    <t>https://static.wikia.nocookie.net/plantsvszombies/images/c/ce/Phat_Beet2.png/revision/latest?cb=20150822202144</t>
  </si>
  <si>
    <t>Celery Stalker</t>
  </si>
  <si>
    <t>Aipo Algoz</t>
  </si>
  <si>
    <t>Ataca ferrozmente o zumbi na retaguarda.</t>
  </si>
  <si>
    <t>Heals itself to full and spawns three Celery Stalker.</t>
  </si>
  <si>
    <t>celerystalker</t>
  </si>
  <si>
    <t>https://static.wikia.nocookie.net/plantsvszombies/images/a/a5/Celery_Stalker2.png/revision/latest?cb=20150822202352</t>
  </si>
  <si>
    <t>Thyme Warp</t>
  </si>
  <si>
    <t>Cronotomilho</t>
  </si>
  <si>
    <t>Retroscede todos os zumbis.</t>
  </si>
  <si>
    <t>Special - Rewound zombies have restored health</t>
  </si>
  <si>
    <t>thymewarp</t>
  </si>
  <si>
    <t>https://static.wikia.nocookie.net/plantsvszombies/images/4/4c/Thyme_Warp2.png/revision/latest?cb=20150822202401</t>
  </si>
  <si>
    <t>Garlic</t>
  </si>
  <si>
    <t>Alho</t>
  </si>
  <si>
    <t>Muda o zumbi que o comer de fileira.</t>
  </si>
  <si>
    <t>Heals itself and releases gas that will temporarily stun zombies in front and divert them to another column.</t>
  </si>
  <si>
    <t>garlic</t>
  </si>
  <si>
    <t>https://static.wikia.nocookie.net/plantsvszombies/images/2/21/Garlic2.png/revision/latest?cb=20190624020121</t>
  </si>
  <si>
    <t>Spore-shroom</t>
  </si>
  <si>
    <t>Esporogumelo</t>
  </si>
  <si>
    <t>Dispara esporos em parábola, que criam novos esporogumelos ao derrotar um zumbi.</t>
  </si>
  <si>
    <t>Lobs three giant spores that deal massive damage, spawns a spore if the zombie is defeated.</t>
  </si>
  <si>
    <t>sporeshroom</t>
  </si>
  <si>
    <t>https://static.wikia.nocookie.net/plantsvszombies/images/d/d6/Spore-shroom2.png/revision/latest?cb=20180304014203</t>
  </si>
  <si>
    <t>Intensive Carrot</t>
  </si>
  <si>
    <t>Cenoura do Poder</t>
  </si>
  <si>
    <t>Restaura uma planta nocauteada.</t>
  </si>
  <si>
    <t>intensivecarrot</t>
  </si>
  <si>
    <t>https://static.wikia.nocookie.net/plantsvszombies/images/9/93/Intensive_Carrot2.png/revision/latest?cb=20150919111412</t>
  </si>
  <si>
    <t>Primal Peashooter</t>
  </si>
  <si>
    <t>Disparervilha Primitiva</t>
  </si>
  <si>
    <t>Dispara uma ervilha petrificada contra os zumbis, essa ervilha retrocede o zumbi.</t>
  </si>
  <si>
    <t>Shoots several peas that can knock back zombies.</t>
  </si>
  <si>
    <t>Special - Rock-like peas occasionally knock zombies back</t>
  </si>
  <si>
    <t>primal</t>
  </si>
  <si>
    <t>primalpeashooter</t>
  </si>
  <si>
    <t>https://static.wikia.nocookie.net/plantsvszombies/images/b/b6/Primal_Peashooter2.png/revision/latest?cb=20160831064137</t>
  </si>
  <si>
    <t>Primal Wall-nut</t>
  </si>
  <si>
    <t>Noz-muralha Primitiva</t>
  </si>
  <si>
    <t>Fornece uma proteção elevada para as plantas.</t>
  </si>
  <si>
    <t>Fully heals itself and gains a thick rock armor.</t>
  </si>
  <si>
    <t>primalwallnut</t>
  </si>
  <si>
    <t>https://static.wikia.nocookie.net/plantsvszombies/images/c/cf/Primal_Wall-nut2.png/revision/latest?cb=20160831064408</t>
  </si>
  <si>
    <t>Perfume-shroom</t>
  </si>
  <si>
    <t>Perfugumelo</t>
  </si>
  <si>
    <t>Muda a lealdade de dinossauros.</t>
  </si>
  <si>
    <t>Affects all dinosaurs in a lane</t>
  </si>
  <si>
    <t>perfumeshroom</t>
  </si>
  <si>
    <t>https://static.wikia.nocookie.net/plantsvszombies/images/f/fa/Perfume-shroom2.png/revision/latest?cb=20160831225342</t>
  </si>
  <si>
    <t>Primal Sunflower</t>
  </si>
  <si>
    <t>Girassol Primitivo</t>
  </si>
  <si>
    <t>Gera grandes sóis adicionais.</t>
  </si>
  <si>
    <t>Immediately produces large amount of sun.</t>
  </si>
  <si>
    <t>primalsunflower</t>
  </si>
  <si>
    <t>https://static.wikia.nocookie.net/plantsvszombies/images/2/24/Primal_Sunflower2.png/revision/latest?cb=20160905220547</t>
  </si>
  <si>
    <t>Primal Potato Mine</t>
  </si>
  <si>
    <t>Batata Mina Primitiva</t>
  </si>
  <si>
    <t>Se arma e gera uma grande explosão.</t>
  </si>
  <si>
    <t>Range affects area around it</t>
  </si>
  <si>
    <t>primal, area-effect, explosion</t>
  </si>
  <si>
    <t>primalpotatomine</t>
  </si>
  <si>
    <t>https://static.wikia.nocookie.net/plantsvszombies/images/e/ec/Primal_Potato_Mine2.png/revision/latest?cb=20151215015144</t>
  </si>
  <si>
    <t>Lily Pad</t>
  </si>
  <si>
    <t>Vitória Régea</t>
  </si>
  <si>
    <t>Planta anfíbia. Permite que plantas sejam postas sobre a água.</t>
  </si>
  <si>
    <t>Creates Lily Pads in adjacent spaces. If the adjacent space has Lily Pads- it will heal them instead.</t>
  </si>
  <si>
    <t>Usage - Can also be planted under non-aquatic plants</t>
  </si>
  <si>
    <t>grounded, aquatic</t>
  </si>
  <si>
    <t>lilypad</t>
  </si>
  <si>
    <t>Tangle Kelp</t>
  </si>
  <si>
    <t>Emaranhalga</t>
  </si>
  <si>
    <t>Afoga o primeiro zumbi que torca-la. Só pode ser plantada na água.</t>
  </si>
  <si>
    <t>Drags up to four random zombies underwater.</t>
  </si>
  <si>
    <t>aquatic</t>
  </si>
  <si>
    <t>tanglekelp</t>
  </si>
  <si>
    <t>PvZ, PvZ 2, PvZ 2 Chinease, PvZ 3</t>
  </si>
  <si>
    <t>https://static.wikia.nocookie.net/plantsvszombies/images/1/1a/Tangle_Kelp2.png/revision/latest?cb=20160830234932</t>
  </si>
  <si>
    <t>Bowling Bulb</t>
  </si>
  <si>
    <t>Bulboliche</t>
  </si>
  <si>
    <t>Dispara três cargas de boliche poderosas que causam cada vez mais dano.</t>
  </si>
  <si>
    <t>Shoots three charged explosive bulbs at zombies, dealing heavy damage. Waits until zombies appear on the lawn before shooting.</t>
  </si>
  <si>
    <t>Larger bulbs do more damage</t>
  </si>
  <si>
    <t>bowlingbulb</t>
  </si>
  <si>
    <t>https://static.wikia.nocookie.net/plantsvszombies/images/e/ee/Bowling_Bulb2.png/revision/latest?cb=20200527202318</t>
  </si>
  <si>
    <t>Guacodile</t>
  </si>
  <si>
    <t>Guacodilo</t>
  </si>
  <si>
    <t>Planta anfíbia. Dispara sementes enquanto na terra, além disso, caso um zumbi se aproxime, ele avança em um poderoso ataque.</t>
  </si>
  <si>
    <t>Knock back zombies near it and releases two rushing Guacodiles that deal damage down its row.</t>
  </si>
  <si>
    <t>Plant is lost after rushing attack</t>
  </si>
  <si>
    <t xml:space="preserve">Special - Can be planted on water
</t>
  </si>
  <si>
    <t>guacodile</t>
  </si>
  <si>
    <t>https://static.wikia.nocookie.net/plantsvszombies/images/9/96/Guacodile2.png/revision/latest?cb=20160818024252</t>
  </si>
  <si>
    <t>Banana Launcher</t>
  </si>
  <si>
    <t>Lança-bananas</t>
  </si>
  <si>
    <t>Dispara um poderoso missel banana, entrando em modo de recarga.</t>
  </si>
  <si>
    <t>Launches four explosive bananas that target random zombies.</t>
  </si>
  <si>
    <t>Tap to arm, tap on target tile to fire anywhere on lawn</t>
  </si>
  <si>
    <t>Special - On impact, explodes in small area</t>
  </si>
  <si>
    <t>banana</t>
  </si>
  <si>
    <t>https://static.wikia.nocookie.net/plantsvszombies/images/b/b7/Banana_Launcher2.png/revision/latest?cb=20160905221035</t>
  </si>
  <si>
    <t>Moonflower</t>
  </si>
  <si>
    <t>Dama-da-noite</t>
  </si>
  <si>
    <t>Sombra</t>
  </si>
  <si>
    <t>Produz sóis adicionais, e energiza plantas sombrias.</t>
  </si>
  <si>
    <t>Produces sun and gain a defensive shield.</t>
  </si>
  <si>
    <t>Emits sun as well as additional sun for each adjacent shadow plant up to four</t>
  </si>
  <si>
    <t>moonflower</t>
  </si>
  <si>
    <t>https://static.wikia.nocookie.net/plantsvszombies/images/5/55/Moonflower2.png/revision/latest?cb=20160904210356</t>
  </si>
  <si>
    <t>Nightshade</t>
  </si>
  <si>
    <t>Beladona Sombria</t>
  </si>
  <si>
    <t>Atira poderosas petalas, que regeneram-se caso esteja energizado.</t>
  </si>
  <si>
    <t>Regrows all of its leaves, then throw three large leaves at zombies. Permanently, increases its damage.</t>
  </si>
  <si>
    <t>Special - Hurls and regrows leaves when powered</t>
  </si>
  <si>
    <t>nightshade</t>
  </si>
  <si>
    <t>https://static.wikia.nocookie.net/plantsvszombies/images/b/b6/Nightshade2.png/revision/latest?cb=20160818032951</t>
  </si>
  <si>
    <t>Shadow-shroom</t>
  </si>
  <si>
    <t>Sombragumelo</t>
  </si>
  <si>
    <t>Envenena um zumbi próximo.</t>
  </si>
  <si>
    <t>Poisons every zombie on the lawn. If a zombie is already poison, deal heavy damage.</t>
  </si>
  <si>
    <t>Special - Powered Shadow-shrooms make poisoned zombies poison other zombies</t>
  </si>
  <si>
    <t>stun, poison</t>
  </si>
  <si>
    <t>shadowshroom</t>
  </si>
  <si>
    <t>https://static.wikia.nocookie.net/plantsvszombies/images/8/87/Shadow-shroom2.png/revision/latest?cb=20160904210029</t>
  </si>
  <si>
    <t>Dusk Lobber</t>
  </si>
  <si>
    <t>Morteira</t>
  </si>
  <si>
    <t>Atira sementes em parábola que podem atingir outras colunas caso esteja energizado.</t>
  </si>
  <si>
    <t>Shoots multiple large buds that explode on impact.</t>
  </si>
  <si>
    <t>Special - Powered Dusk Lobbers lob buds down 3 lanes</t>
  </si>
  <si>
    <t>Cactus</t>
  </si>
  <si>
    <t>dusklobber</t>
  </si>
  <si>
    <t>https://static.wikia.nocookie.net/plantsvszombies/images/e/e2/Dusk_Lobber2.png/revision/latest?cb=20160218232807</t>
  </si>
  <si>
    <t>Grimrose</t>
  </si>
  <si>
    <t>Coveirosa</t>
  </si>
  <si>
    <t>Ataca com sua sombra um zumbi, caso esteja energizado, ataca até 3 vezes.</t>
  </si>
  <si>
    <t>Drags the strongest small zombie into the ground. If the zombie is large or mechanical- deal damage instead.</t>
  </si>
  <si>
    <t>Special - Powered Grimroses can drag 3 zombies before expiring</t>
  </si>
  <si>
    <t>grimrose</t>
  </si>
  <si>
    <t>https://static.wikia.nocookie.net/plantsvszombies/images/8/80/Grimrose2.png/revision/latest?cb=20160218232806</t>
  </si>
  <si>
    <t>Snow Pea</t>
  </si>
  <si>
    <t>Gelervilha</t>
  </si>
  <si>
    <t>Dispara uma ervilha contra os zumbis que resfria seus movimentos.</t>
  </si>
  <si>
    <t>Slows all zombies in the column, then shoots a barrage of frozen peas.</t>
  </si>
  <si>
    <t>Special - Chills and damages zombie on impact
Special - Chills closely following zombies with no damage</t>
  </si>
  <si>
    <t>chilling</t>
  </si>
  <si>
    <t>Premium</t>
  </si>
  <si>
    <t>snowpea</t>
  </si>
  <si>
    <t>https://static.wikia.nocookie.net/plantsvszombies/images/a/af/Snow_Pea2.png/revision/latest?cb=20221126072509</t>
  </si>
  <si>
    <t>Power Lily</t>
  </si>
  <si>
    <t>Lírio Fertilizante</t>
  </si>
  <si>
    <t>Gera um adubo.</t>
  </si>
  <si>
    <t>Special - Creates one Plant Food</t>
  </si>
  <si>
    <t>powerlily</t>
  </si>
  <si>
    <t>https://static.wikia.nocookie.net/plantsvszombies/images/d/db/Power_Lily2.png/revision/latest?cb=20221126072700</t>
  </si>
  <si>
    <t>Imitater</t>
  </si>
  <si>
    <t>Imitadora</t>
  </si>
  <si>
    <t>Imita a planta anterior.</t>
  </si>
  <si>
    <t>Performs Plant Food effect of the plant it's imitating.</t>
  </si>
  <si>
    <t>imitater</t>
  </si>
  <si>
    <t>https://static.wikia.nocookie.net/plantsvszombies/images/f/f2/Imitater2.png/revision/latest?cb=20190624020001</t>
  </si>
  <si>
    <t>Chomper</t>
  </si>
  <si>
    <t>Carnívora</t>
  </si>
  <si>
    <t>Devora zumbis menores, entrando em modo de recarga.</t>
  </si>
  <si>
    <t>Consumes several nearby zombies in the column, then releases a burp that knocks back any survivors.</t>
  </si>
  <si>
    <t>Special - Moderate delay between chomps</t>
  </si>
  <si>
    <t>chomper</t>
  </si>
  <si>
    <t>https://static.wikia.nocookie.net/plantsvszombies/images/1/16/Chomper2.png/revision/latest?cb=20160831224928</t>
  </si>
  <si>
    <t>Toadstool</t>
  </si>
  <si>
    <t>Rãgumelo</t>
  </si>
  <si>
    <t>Devora zumbis menores, entrando em modo de recarga enquanto gera sóis adicionais.</t>
  </si>
  <si>
    <t>Consumes up to 4 random zombies in the surrounding area and produces sun for each zombie it ate.</t>
  </si>
  <si>
    <t>toadstool</t>
  </si>
  <si>
    <t>https://static.wikia.nocookie.net/plantsvszombies/images/e/ea/Toadstool2.png/revision/latest?cb=20180303174913</t>
  </si>
  <si>
    <t>Strawburst</t>
  </si>
  <si>
    <t>Morangranada</t>
  </si>
  <si>
    <t>Atira uma granada explosiva que fica mais forte a medida do tempo.</t>
  </si>
  <si>
    <t>Launches a huge strawberry that explodes on impact that deals damage to all zombies on the lawn.</t>
  </si>
  <si>
    <t>strawburst</t>
  </si>
  <si>
    <t>https://static.wikia.nocookie.net/plantsvszombies/images/3/30/Strawburst2.png/revision/latest?cb=20161026010927</t>
  </si>
  <si>
    <t>Cacto</t>
  </si>
  <si>
    <t>Dispara projeteis perfurantes, e machuca zumbis que passem por cima dele.</t>
  </si>
  <si>
    <t>Permanently increases piercing power and damage.</t>
  </si>
  <si>
    <t>Special - Hides and does ground damage when zombies are near
Special - Pops Balloon Zombies with a special anti-balloon projectile</t>
  </si>
  <si>
    <t>cactus</t>
  </si>
  <si>
    <t>https://static.wikia.nocookie.net/plantsvszombies/images/a/aa/Cactus2.png/revision/latest?cb=20150823165854</t>
  </si>
  <si>
    <t>Electric Blueberry</t>
  </si>
  <si>
    <t>Amora Elétrica</t>
  </si>
  <si>
    <t>Aleatoriamente gera uma numvem que eletrocuta um zumbi com frequência.</t>
  </si>
  <si>
    <t>Creates a storm cloud that targets 3 random zombies, dealing damage.</t>
  </si>
  <si>
    <t>electricblueberry</t>
  </si>
  <si>
    <t>https://static.wikia.nocookie.net/plantsvszombies/images/6/6d/Electric_Blueberry2.png/revision/latest?cb=20150916015743</t>
  </si>
  <si>
    <t>Jack O'Lantern</t>
  </si>
  <si>
    <t>Lanterror</t>
  </si>
  <si>
    <t>Incendeia uma área próxima.</t>
  </si>
  <si>
    <t>Summons 5 green ghosts on random tiles on the lawn, that continuously deal fire damage to zombies.</t>
  </si>
  <si>
    <t>Special - Fire recharges over time</t>
  </si>
  <si>
    <t>jackolantern</t>
  </si>
  <si>
    <t>https://static.wikia.nocookie.net/plantsvszombies/images/9/9a/Jack_O%27_Lantern2.png/revision/latest?cb=20160904215028</t>
  </si>
  <si>
    <t>Grapeshot</t>
  </si>
  <si>
    <t>Tiruvão</t>
  </si>
  <si>
    <t>Explode causando dano ainda pós a explosão.</t>
  </si>
  <si>
    <t>area-effect, explosion</t>
  </si>
  <si>
    <t>grapeshot</t>
  </si>
  <si>
    <t>PvZ 2, PvZ 2 Chinease, PvZ Heroes, PvZ 3</t>
  </si>
  <si>
    <t>https://static.wikia.nocookie.net/plantsvszombies/images/3/38/Grapeshot2.png/revision/latest?cb=20151018042852</t>
  </si>
  <si>
    <t>Cold Snapdragon</t>
  </si>
  <si>
    <t>Boca-de-Dragão Gelado</t>
  </si>
  <si>
    <t>Resfria zumbis próximos.</t>
  </si>
  <si>
    <t>Fires an ice blast in front, dealing heavy damage and either freezing or chilling zombies.</t>
  </si>
  <si>
    <t>Slows and damages zombies in the 6 tiles</t>
  </si>
  <si>
    <t>area-effect, chilling, dragon</t>
  </si>
  <si>
    <t>coldsnapdragon</t>
  </si>
  <si>
    <t>https://static.wikia.nocookie.net/plantsvszombies/images/a/a0/Cold_Snapdragon2.png/revision/latest?cb=20151117120932</t>
  </si>
  <si>
    <t>Scape Root</t>
  </si>
  <si>
    <t>Fugaíz</t>
  </si>
  <si>
    <t>Troca de lugar com outra planta, gerando uma planta bombarda em seu lugar.</t>
  </si>
  <si>
    <t>Creates 2 copies of itself, one at a time, next to a zombie and transform into a random Bombard-mint plant.</t>
  </si>
  <si>
    <t>Tap Escape Root and another plant to swap them</t>
  </si>
  <si>
    <t>escaperoot</t>
  </si>
  <si>
    <t>https://static.wikia.nocookie.net/plantsvszombies/images/2/2c/Escape_Root2.png/revision/latest?cb=20160827035308</t>
  </si>
  <si>
    <t>Gold Bloom</t>
  </si>
  <si>
    <t>Broto Dourado</t>
  </si>
  <si>
    <t>Gera uma explosão de sóis.</t>
  </si>
  <si>
    <t>goldbloom</t>
  </si>
  <si>
    <t>https://static.wikia.nocookie.net/plantsvszombies/images/3/35/Gold_Bloom2.png/revision/latest?cb=20160818002941</t>
  </si>
  <si>
    <t>Wasabi Whip</t>
  </si>
  <si>
    <t>Chicote de wasabi</t>
  </si>
  <si>
    <t>Golpeia com seu chicote flamejante os zumbis.</t>
  </si>
  <si>
    <t>Spin its flaming whip around, dealing heavy damage to zombies.</t>
  </si>
  <si>
    <t>Special - Resists cold and warms plants around it</t>
  </si>
  <si>
    <t>warm, attack_backwards</t>
  </si>
  <si>
    <t>wasabiwhip</t>
  </si>
  <si>
    <t>https://static.wikia.nocookie.net/plantsvszombies/images/1/15/Wasabi_Whip2.png/revision/latest?cb=20160818065339</t>
  </si>
  <si>
    <t>Apple Mortar</t>
  </si>
  <si>
    <t>Maçã Morteiro</t>
  </si>
  <si>
    <t>Dispara projeteis em parábola em três colunas, podendo paralizar zumbis.</t>
  </si>
  <si>
    <t>Lobs large apples at every zombie on the lawn, dealing damage and temporarily stunning them.</t>
  </si>
  <si>
    <t>applemortar</t>
  </si>
  <si>
    <t>https://static.wikia.nocookie.net/plantsvszombies/images/3/39/Apple_Mortar2.png/revision/latest?cb=20160924095708</t>
  </si>
  <si>
    <t>Witch Hazel</t>
  </si>
  <si>
    <t>Bruxavelã</t>
  </si>
  <si>
    <t>Transforma zumbis em plantas do tipo Cogumelo.</t>
  </si>
  <si>
    <t>Transforms a random zombie into a Toadstool.</t>
  </si>
  <si>
    <t>Special - Prefers to target Wizard Zombies</t>
  </si>
  <si>
    <t>witchhazel</t>
  </si>
  <si>
    <t>https://static.wikia.nocookie.net/plantsvszombies/images/b/bd/Witch_Hazel2.png/revision/latest?cb=20221130092709</t>
  </si>
  <si>
    <t>Parsnip</t>
  </si>
  <si>
    <t>Pastigarra</t>
  </si>
  <si>
    <t>Usa golpes perfurantes em zumbis próximos, caso um zumbi se aproxime, ele avança em um poderoso ataque.</t>
  </si>
  <si>
    <t>Knocks back every zombie in front and then summons two mini parsnips that will rush down the column.</t>
  </si>
  <si>
    <t>parsnip</t>
  </si>
  <si>
    <t>https://static.wikia.nocookie.net/plantsvszombies/images/5/5f/Parsnip2.png/revision/latest?cb=20220316060035</t>
  </si>
  <si>
    <t>Missile Toe</t>
  </si>
  <si>
    <t>Viscoguete</t>
  </si>
  <si>
    <t>Dispara um míssel congelante e avassalador.</t>
  </si>
  <si>
    <t>Launches multiple cold blasts at the random targets on the lawn.</t>
  </si>
  <si>
    <t>Range anywhere on lawn</t>
  </si>
  <si>
    <t>missiletoe</t>
  </si>
  <si>
    <t>https://static.wikia.nocookie.net/plantsvszombies/images/3/36/Missile_Toe2.png/revision/latest?cb=20161129080652</t>
  </si>
  <si>
    <t>Caulipower</t>
  </si>
  <si>
    <t>Psicouve</t>
  </si>
  <si>
    <t>Usa seu poder mental para hipnotizar zumbis e fazer lutarem por ele, entrando em modo de recarga.</t>
  </si>
  <si>
    <t>Tosses 5 random zombies off the lawn.</t>
  </si>
  <si>
    <t>Special - Hovers above ground or water</t>
  </si>
  <si>
    <t>Legendary</t>
  </si>
  <si>
    <t>caulipower</t>
  </si>
  <si>
    <t>https://static.wikia.nocookie.net/plantsvszombies/images/2/26/Caulipower2.png/revision/latest?cb=20170320194223</t>
  </si>
  <si>
    <t>Eletric Peashooter</t>
  </si>
  <si>
    <t>Disparervilha Elétrica</t>
  </si>
  <si>
    <t>Dispara ervilhas eletricas perfurante contra os zumbis.</t>
  </si>
  <si>
    <t>Fires multiple large electric peas at the closest zombies. These peas explode and spread across the lawn.</t>
  </si>
  <si>
    <t>electricpeashooter</t>
  </si>
  <si>
    <t>PvZ 2, PvZ 2 Chinease, PvZ GW 2</t>
  </si>
  <si>
    <t>https://static.wikia.nocookie.net/plantsvszombies/images/f/f0/Electric_Peashooter2.png/revision/latest?cb=20170624163241</t>
  </si>
  <si>
    <t>Holly Barrier</t>
  </si>
  <si>
    <t>counter, spikes, summon</t>
  </si>
  <si>
    <t>Machuca os zumbis que o ataquem, e pode lançar 3 barreiras de folha espinhosa que nocauteia zumbis e causa dano ao ser atacado.</t>
  </si>
  <si>
    <t>Fully heals itself and regains all berries. Launches Armored leaves on to random tiles.</t>
  </si>
  <si>
    <t>Can fire up to 3 barriers</t>
  </si>
  <si>
    <t>Special - Projectile knocks back, does damage, leaves barrier on empty tiles</t>
  </si>
  <si>
    <t>hollyknight</t>
  </si>
  <si>
    <t>https://static.wikia.nocookie.net/plantsvszombies/images/0/0d/Holly_Barrier2.png/revision/latest?cb=20171203021856</t>
  </si>
  <si>
    <t>Squash</t>
  </si>
  <si>
    <t>Esmagadora</t>
  </si>
  <si>
    <t>Esmaga os zumbis próximos</t>
  </si>
  <si>
    <t>Squashes multiple tough targets on the lawn before returning to its original location.</t>
  </si>
  <si>
    <t>All zombies around target</t>
  </si>
  <si>
    <t>Special - More smashes with higher plant level</t>
  </si>
  <si>
    <t>attack_baclwards</t>
  </si>
  <si>
    <t>Gemium</t>
  </si>
  <si>
    <t>squash</t>
  </si>
  <si>
    <t>PvZ, PvZ 2, PvZ 2 Chinease, PvZ Heroes, PvZ GW 2, PvZ BfN, PvZ 3</t>
  </si>
  <si>
    <t>https://static.wikia.nocookie.net/plantsvszombies/images/5/52/Squash2.png/revision/latest?cb=20150823165146</t>
  </si>
  <si>
    <t>Jalapeño</t>
  </si>
  <si>
    <t>Pimenta</t>
  </si>
  <si>
    <t>Detona e encendeia todos os zumbis na fileira.</t>
  </si>
  <si>
    <t>Pepper</t>
  </si>
  <si>
    <t>jalapeno</t>
  </si>
  <si>
    <t>https://static.wikia.nocookie.net/plantsvszombies/images/7/7d/Jalapeno2.png/revision/latest?cb=20150823165147</t>
  </si>
  <si>
    <t>Hypno-shroom</t>
  </si>
  <si>
    <t>Hipnogumelo</t>
  </si>
  <si>
    <t>Usa seu poder mental para hipnotizar o zumbi que devorá-lo, e fazer lutarem por ele.</t>
  </si>
  <si>
    <t>Turns a hypnotized zombie into a Gargantuar.</t>
  </si>
  <si>
    <t>hypnoshroom</t>
  </si>
  <si>
    <t>PvZ, PvZ 2, PvZ 2 Chinease, PvZ GW 2, PvZ BfN</t>
  </si>
  <si>
    <t>https://static.wikia.nocookie.net/plantsvszombies/images/c/c3/Hypno-shroom2.png/revision/latest?cb=20210302125341</t>
  </si>
  <si>
    <t>Pea-nut</t>
  </si>
  <si>
    <t>Nozervilha</t>
  </si>
  <si>
    <t>Dispara até duas ervilhas contra os zumbis, enquanto fornece uma proteção básica para as plantas.</t>
  </si>
  <si>
    <t>Heals to full health, gains an armor helmet and shoots a barrage of peas.</t>
  </si>
  <si>
    <t>peanut</t>
  </si>
  <si>
    <t>https://static.wikia.nocookie.net/plantsvszombies/images/0/0f/Pea-nut2.png/revision/latest?cb=20150822204951</t>
  </si>
  <si>
    <t>Homing Thistle</t>
  </si>
  <si>
    <t>Espinho Guiado</t>
  </si>
  <si>
    <t>Dispara espinhos teleguiados que atingem o zumbi mais próximo da casa.</t>
  </si>
  <si>
    <t>Shoots homing projectiles at all zombies on the lawn, dealing moderate damage to each.</t>
  </si>
  <si>
    <t>spikes</t>
  </si>
  <si>
    <t>homingthistle</t>
  </si>
  <si>
    <t>https://static.wikia.nocookie.net/plantsvszombies/images/f/fb/Homing_Thistle2.png/revision/latest?cb=20150823165313</t>
  </si>
  <si>
    <t>Ghost Pepper</t>
  </si>
  <si>
    <t>Pimenta Fantasma</t>
  </si>
  <si>
    <t>Machuca zumbis que passam por perto dele e explode depois de um tempo.</t>
  </si>
  <si>
    <t>Deals heavy damage to all nearby zombies, and resets its lifetime timer.</t>
  </si>
  <si>
    <t>area-effect, attack_backwards, fade, flying</t>
  </si>
  <si>
    <t>ghostpepper</t>
  </si>
  <si>
    <t>https://static.wikia.nocookie.net/plantsvszombies/images/b/b2/Ghost_Pepper2.png/revision/latest?cb=20160916010938</t>
  </si>
  <si>
    <t>Sweet Potato</t>
  </si>
  <si>
    <t>Batata Doce</t>
  </si>
  <si>
    <t>Atrai zumbis de colunas adjacentes para esta.</t>
  </si>
  <si>
    <t>Heals itself and attracts all nearby zombies to its row.</t>
  </si>
  <si>
    <t>sweetpotato</t>
  </si>
  <si>
    <t>https://static.wikia.nocookie.net/plantsvszombies/images/1/1a/Sweet_Potato2.png/revision/latest?cb=20150823165444</t>
  </si>
  <si>
    <t>Sap-fling</t>
  </si>
  <si>
    <t>Lança-seiva</t>
  </si>
  <si>
    <t>Lança em parábolas poças de seiva que desaceleram os zumbis.</t>
  </si>
  <si>
    <t>Throws 20 pine cones randomly on lawn.</t>
  </si>
  <si>
    <t>Does no damage on impact, but creates sap puddle</t>
  </si>
  <si>
    <t>Special - Slows zombies who walk in puddle</t>
  </si>
  <si>
    <t>Wood</t>
  </si>
  <si>
    <t>sapfling</t>
  </si>
  <si>
    <t>https://static.wikia.nocookie.net/plantsvszombies/images/4/41/Sap-fling2.png/revision/latest?cb=20150822211124</t>
  </si>
  <si>
    <t>Hurrikale</t>
  </si>
  <si>
    <t>Furacouve</t>
  </si>
  <si>
    <t>Empurra os zumbis desta fila e resfria-os. Também remove os zumbis voadores desta fila.</t>
  </si>
  <si>
    <t>Special - Chills affected zombies
Special - Blows away flying zombies in lane</t>
  </si>
  <si>
    <t>control, chilling</t>
  </si>
  <si>
    <t>hurrikale</t>
  </si>
  <si>
    <t>https://static.wikia.nocookie.net/plantsvszombies/images/5/5e/Hurrikale2.png/revision/latest?cb=20150823155951</t>
  </si>
  <si>
    <t>Fire Peashooter</t>
  </si>
  <si>
    <t>Disparervilha Flamejante</t>
  </si>
  <si>
    <t>Dispara ervilhas flamejantes contra os zumbis.</t>
  </si>
  <si>
    <t>Creates a fire trail, unfreezing plants and damaging zombies in the row.</t>
  </si>
  <si>
    <t>firepeashooter</t>
  </si>
  <si>
    <t>PvZ 2, PvZ 2 Chinease, PvZ Heroes, PvZ GW, PvZ GW 2, PvZA</t>
  </si>
  <si>
    <t>https://static.wikia.nocookie.net/plantsvszombies/images/f/f4/Fire_Peashooter2.png/revision/latest?cb=20150823165447</t>
  </si>
  <si>
    <t>Lava Guava</t>
  </si>
  <si>
    <t>Goialava</t>
  </si>
  <si>
    <t>Entra em erupção causando dano em área, e gerando uma poça de lava.</t>
  </si>
  <si>
    <t>Fractures the ground in front, dealing damage over several seconds.</t>
  </si>
  <si>
    <t>Special - Erupts, damaging nearby zombies
Special - Creates a burning lava pool in its tile</t>
  </si>
  <si>
    <t>lavaguava</t>
  </si>
  <si>
    <t>https://static.wikia.nocookie.net/plantsvszombies/images/6/6a/Lava_Guava2.png/revision/latest?cb=20150823155820</t>
  </si>
  <si>
    <t>Shrinking Violet</t>
  </si>
  <si>
    <t>Violeta Encolhedora</t>
  </si>
  <si>
    <t>Encolhe os zumbis em área, fazendo com que recebam dano dobrado e inflijam metade de dano.</t>
  </si>
  <si>
    <t>Shrinks all zombies on the lawn.</t>
  </si>
  <si>
    <t>Affects zombies in surrounding tiles</t>
  </si>
  <si>
    <t>Special - Shrinks imps to oblivion</t>
  </si>
  <si>
    <t>shrinkingviolet</t>
  </si>
  <si>
    <t>https://static.wikia.nocookie.net/plantsvszombies/images/7/7c/Shrinking_Violet2.png/revision/latest?cb=20160107011055</t>
  </si>
  <si>
    <t>Eletric Currant</t>
  </si>
  <si>
    <t>Groselhétrica</t>
  </si>
  <si>
    <t>Cria cercas elétricas entre duas dessa planta em linha reta.</t>
  </si>
  <si>
    <t>Permanently increase its electric fence and melee damage.</t>
  </si>
  <si>
    <t>Area effect (electric fence)</t>
  </si>
  <si>
    <t>Special - knocks zombies back into other lanes when activated</t>
  </si>
  <si>
    <t>electriccurrant</t>
  </si>
  <si>
    <t>https://static.wikia.nocookie.net/plantsvszombies/images/a/a9/Electric_Currant2.png/revision/latest?cb=20160827013119</t>
  </si>
  <si>
    <t>Kiwibeast</t>
  </si>
  <si>
    <t>Hulkiwi</t>
  </si>
  <si>
    <t>Bate no chão criando uma onda de som. Além disso, fica maior e mais forte a medida que é machucado.</t>
  </si>
  <si>
    <t>Immediately grows to its last stage and deal massive damage to the surrounding area.</t>
  </si>
  <si>
    <t>Special - Knocks back zombies during growth</t>
  </si>
  <si>
    <t>kiwibeast</t>
  </si>
  <si>
    <t>https://static.wikia.nocookie.net/plantsvszombies/images/e/ef/Kiwibeast2.png/revision/latest?cb=20210121015624</t>
  </si>
  <si>
    <t>Tortchwood</t>
  </si>
  <si>
    <t>Tronco-flamejante</t>
  </si>
  <si>
    <t>Incrementa o poder de ervilhas atrás dele. Além de explodir quando for nocauteado.</t>
  </si>
  <si>
    <t>Permanently increases the damage bonus of all the peas that pass through it.</t>
  </si>
  <si>
    <t>Special - Damages zombies at close range
Special - Does lane-wide flame damage when destroyed</t>
  </si>
  <si>
    <t>warm, counter</t>
  </si>
  <si>
    <t>Sementium</t>
  </si>
  <si>
    <t>torchwood</t>
  </si>
  <si>
    <t>PvZ, PvZ 2, PvZ 2 Chinease, PvZ Heroes, PvZ GW 2</t>
  </si>
  <si>
    <t>https://static.wikia.nocookie.net/plantsvszombies/images/7/74/Torchwood2.png/revision/latest?cb=20190624015915</t>
  </si>
  <si>
    <t>Starfruit</t>
  </si>
  <si>
    <t>Carambola</t>
  </si>
  <si>
    <t>Dispara estrelas em cinco colunas</t>
  </si>
  <si>
    <t>Shoots ten giant stars in five directions, dealing damage.</t>
  </si>
  <si>
    <t>area-effect, attack_backwards</t>
  </si>
  <si>
    <t>starfruit</t>
  </si>
  <si>
    <t>https://static.wikia.nocookie.net/plantsvszombies/images/f/fb/Starfruit2.png/revision/latest?cb=20190624020055</t>
  </si>
  <si>
    <t>Dandelion</t>
  </si>
  <si>
    <t>Dente-de-leão</t>
  </si>
  <si>
    <t>Envia sementes explosivas pelo ar, que podem acertar nas colunas adjacentes.</t>
  </si>
  <si>
    <t>Shoots ten big dandelion seeds at random zombies, dealing heavy damage.</t>
  </si>
  <si>
    <t>Can attack targets in the lane above or below</t>
  </si>
  <si>
    <t>Special - May react to certain strong winds</t>
  </si>
  <si>
    <t>dandelion</t>
  </si>
  <si>
    <t>https://static.wikia.nocookie.net/plantsvszombies/images/3/3c/Dandelion2.png/revision/latest?cb=20150822203823</t>
  </si>
  <si>
    <t>Blooming Heart</t>
  </si>
  <si>
    <t>Flor-Coração</t>
  </si>
  <si>
    <t>Ataca os zumbis em parábola, causando cada vez mais dano sempre que acerta o mesmo alvo.</t>
  </si>
  <si>
    <t>Throw large projectiles at every zombie, dealing massive damage.</t>
  </si>
  <si>
    <t>Special - Damage increases across multiple Blooming Hearts</t>
  </si>
  <si>
    <t>bloominghearts</t>
  </si>
  <si>
    <t>https://static.wikia.nocookie.net/plantsvszombies/images/9/95/Blooming_Heart2.png/revision/latest?cb=20160204153716</t>
  </si>
  <si>
    <t>Explode-O-Nut</t>
  </si>
  <si>
    <t>Noxplosiva</t>
  </si>
  <si>
    <t>Fornece uma proteção básica para as plantas, então explode quando for nocauteado.</t>
  </si>
  <si>
    <t>Heals itself and gains an armor that will absorbs additional damage. If the armor is destroyed, unleashes a large explosion.</t>
  </si>
  <si>
    <t>explodeonut</t>
  </si>
  <si>
    <t>https://static.wikia.nocookie.net/plantsvszombies/images/4/42/Explode-O-Nut2.png/revision/latest?cb=20160617175238</t>
  </si>
  <si>
    <t>Aloe</t>
  </si>
  <si>
    <t>Cura a planta a sua direita em 400, então entra em modo de recarga.</t>
  </si>
  <si>
    <t>Instantly heal every plant in the surrounding radius.</t>
  </si>
  <si>
    <t>aloe</t>
  </si>
  <si>
    <t>https://static.wikia.nocookie.net/plantsvszombies/images/3/30/Aloe2.png/revision/latest?cb=20190926013700</t>
  </si>
  <si>
    <t>Bombegranate</t>
  </si>
  <si>
    <t>Bombaromã</t>
  </si>
  <si>
    <t>Explode em uma área 3x3 deixando sementes explosivas.</t>
  </si>
  <si>
    <t>area-effect, explosion, control</t>
  </si>
  <si>
    <t>bombegranate</t>
  </si>
  <si>
    <t>PvZ 2</t>
  </si>
  <si>
    <t>https://static.wikia.nocookie.net/plantsvszombies/images/d/de/Bombegranate2.png/revision/latest?cb=20160827010844</t>
  </si>
  <si>
    <t>Hot Date</t>
  </si>
  <si>
    <t>Tamaramante</t>
  </si>
  <si>
    <t>Atrai zumbis de colunas adjacentes para esta, então quando for nocauteado, detona e encendeia todos os zumbis na fileira.</t>
  </si>
  <si>
    <t>Heals itself and attracts zombies in the surrounding area.</t>
  </si>
  <si>
    <t>Special - Warms nearby plants</t>
  </si>
  <si>
    <t>hotdate</t>
  </si>
  <si>
    <t>https://static.wikia.nocookie.net/plantsvszombies/images/3/3d/Hot_Date2.png/revision/latest?cb=20211113162949</t>
  </si>
  <si>
    <t>Solar Tomato</t>
  </si>
  <si>
    <t>Tomate Solar</t>
  </si>
  <si>
    <t>Paraliza zumbis próximos, fazendo com que cada um deles produza sóis adicionais.</t>
  </si>
  <si>
    <t>area-effect, stun</t>
  </si>
  <si>
    <t>solartomato</t>
  </si>
  <si>
    <t>https://static.wikia.nocookie.net/plantsvszombies/images/8/80/Solar_Tomato2.png/revision/latest?cb=20170902222214</t>
  </si>
  <si>
    <t>Shadow Peashooter</t>
  </si>
  <si>
    <t>Disparervilha das Trevas</t>
  </si>
  <si>
    <t>Dispara uma ervilha contra os zumbis. Caso esteja energizado, este ataque é perfurante.</t>
  </si>
  <si>
    <t>Summons a bomb that increases its area effect for every adjacent Moonflower plant.</t>
  </si>
  <si>
    <t>Special -Fires piercing, slowing bolts when powered
Special - Hides and swallows zombies that approach</t>
  </si>
  <si>
    <t>Mythical</t>
  </si>
  <si>
    <t>shadowpeashooter</t>
  </si>
  <si>
    <t>https://static.wikia.nocookie.net/plantsvszombies/images/3/3b/Shadow_Peashooter2.png/revision/latest?cb=20200420033850</t>
  </si>
  <si>
    <t>Goo Peashooter</t>
  </si>
  <si>
    <t>Disparervilha Gosmenta</t>
  </si>
  <si>
    <t>Dispara uma ervilha envenenada nos zumbis, deixando-os mais lentos.</t>
  </si>
  <si>
    <t>Summons a large ball of poison that deals damage, knock back, and poison all zombies on the lawn.</t>
  </si>
  <si>
    <t>poisonpeashooter</t>
  </si>
  <si>
    <t>https://static.wikia.nocookie.net/plantsvszombies/images/3/3f/Goo_Peashooter2.png/revision/latest?cb=20200803162920</t>
  </si>
  <si>
    <t>Sling Peashooter</t>
  </si>
  <si>
    <t>Estelinguervilha</t>
  </si>
  <si>
    <t>Dispara simultaneamente 5 ervilhas em parábola que acertam os zumbis mais próximos da casa.</t>
  </si>
  <si>
    <t>Shoots 3 bursts of stunning peas at zombies.</t>
  </si>
  <si>
    <t>slingpea</t>
  </si>
  <si>
    <t>https://static.wikia.nocookie.net/plantsvszombies/images/c/c1/Sling_Pea2.png/revision/latest?cb=20181106223507</t>
  </si>
  <si>
    <t>Snap Pea</t>
  </si>
  <si>
    <t>Guilhotinervilhaervilha</t>
  </si>
  <si>
    <t>Mergulha no solo e engole um zumbi, entrando em modo de recarga, depois disso dispara restos do zumbi,</t>
  </si>
  <si>
    <t>Eat several zombies and then shoot out their heads.</t>
  </si>
  <si>
    <t>snappea</t>
  </si>
  <si>
    <t>https://static.wikia.nocookie.net/plantsvszombies/images/8/80/Snap_Pea2.png/revision/latest?cb=20190723032540</t>
  </si>
  <si>
    <t>Zoybean Pod</t>
  </si>
  <si>
    <t>Zumbi-soja</t>
  </si>
  <si>
    <t>Cresce e fecunda um zumbi-soja que avança atacando zumbis.</t>
  </si>
  <si>
    <t>Immediately spawn a Gargantuar Zomboid.</t>
  </si>
  <si>
    <t>zumboid</t>
  </si>
  <si>
    <t>zoybeanpod</t>
  </si>
  <si>
    <t>https://static.wikia.nocookie.net/plantsvszombies/images/b/b7/Zoybean_Pod2.png/revision/latest?cb=20190308033556</t>
  </si>
  <si>
    <t>Dazey Chain</t>
  </si>
  <si>
    <t>Margatordoantes</t>
  </si>
  <si>
    <t>Cresce ficando mais poderosa e lançando uma nuvem paralizante quando isso ocorre.</t>
  </si>
  <si>
    <t>Releases a large plume of stunning gas toward zombies in its column and adjacent columns.</t>
  </si>
  <si>
    <t>stun</t>
  </si>
  <si>
    <t>dazeychain</t>
  </si>
  <si>
    <t>https://static.wikia.nocookie.net/plantsvszombies/images/7/72/Dazey_Chain2.png/revision/latest?cb=20190308033609</t>
  </si>
  <si>
    <t>Eletrici-tea</t>
  </si>
  <si>
    <t>Eletrici-mélia</t>
  </si>
  <si>
    <t>Emite ondas de choque em zumbis próximos, explodindo-os em uma onda eletrica.</t>
  </si>
  <si>
    <t>Shoots lightning bolts at random zombies on the lawn for 3 seconds, dealing large amount of damage.</t>
  </si>
  <si>
    <t>area-effect, chain_attack</t>
  </si>
  <si>
    <t>electricitea</t>
  </si>
  <si>
    <t>https://static.wikia.nocookie.net/plantsvszombies/images/6/69/Electrici-tea2.png/revision/latest?cb=20200601162225</t>
  </si>
  <si>
    <t>Blastberry Vine</t>
  </si>
  <si>
    <t>Trepadeira Explosiva</t>
  </si>
  <si>
    <t>Pode ser plantada com outra planta para fornece-la mais defesa. Além disso, dispara ataques explosivos em parábola.</t>
  </si>
  <si>
    <t>Launches a barrage of explosive berries at zombies in its column.</t>
  </si>
  <si>
    <t>vine</t>
  </si>
  <si>
    <t>blastberry</t>
  </si>
  <si>
    <t>https://static.wikia.nocookie.net/plantsvszombies/images/d/df/Blastberry_Vine2.png/revision/latest?cb=20190723185536</t>
  </si>
  <si>
    <t>Pokra</t>
  </si>
  <si>
    <t>Quibrabo</t>
  </si>
  <si>
    <t>Usa golpes perfurantes em zumbis próximos, esses golpes envenenam o zumbi deixando-o mais lento.</t>
  </si>
  <si>
    <t>Launches several powerful spikes that both pierces and slows zombies.</t>
  </si>
  <si>
    <t>poison, slowing</t>
  </si>
  <si>
    <t>pokra</t>
  </si>
  <si>
    <t>https://static.wikia.nocookie.net/plantsvszombies/images/3/30/Pokra2.png/revision/latest?cb=20200601021310</t>
  </si>
  <si>
    <t>Imp Pear</t>
  </si>
  <si>
    <t>Perajudica</t>
  </si>
  <si>
    <t>Transforma o zumbi que a comer em um zumbinho, o zumbinho que a comer é nocauteado gerando um gás paralizante.</t>
  </si>
  <si>
    <t>Randomly transforms five zombies on the lawn into Imps.</t>
  </si>
  <si>
    <t>imppear</t>
  </si>
  <si>
    <t>https://static.wikia.nocookie.net/plantsvszombies/images/6/6e/Imp_Pear2.png/revision/latest?cb=20190723185522</t>
  </si>
  <si>
    <t>Pumpkin</t>
  </si>
  <si>
    <t>Abóbora</t>
  </si>
  <si>
    <t>Pode ser plantada com outra planta para fornece-la mais defesa. Além disso, fornece uma proteção para a planta.</t>
  </si>
  <si>
    <t>Creates a hard armor shell, that can absorb additional damage.</t>
  </si>
  <si>
    <t>pumpkin</t>
  </si>
  <si>
    <t>https://static.wikia.nocookie.net/plantsvszombies/images/7/73/Pumpkin2.png/revision/latest?cb=20191004193552</t>
  </si>
  <si>
    <t>Pyre Vine</t>
  </si>
  <si>
    <t>Trepadeira Flamejante</t>
  </si>
  <si>
    <t>Pode ser plantada com outra planta para fornece-la mais defesa. Além disso, pode usar um ataque de chamas aos zumbis próximos.</t>
  </si>
  <si>
    <t>Lights the entire column on fire, dealing massive damage to every zombie.</t>
  </si>
  <si>
    <t>pyrevine</t>
  </si>
  <si>
    <t>https://static.wikia.nocookie.net/plantsvszombies/images/0/07/Pyre_Vine2.png/revision/latest?cb=20190903223137</t>
  </si>
  <si>
    <t>Ice Bloom</t>
  </si>
  <si>
    <t>Broto Gelado</t>
  </si>
  <si>
    <t>Congela, resfria e causa dano em todos os zumbis do campo, principalmente aqueles em uma área ao redor desta planta.</t>
  </si>
  <si>
    <t>No Plant Food effect</t>
  </si>
  <si>
    <t>Special - Weak zombies in 3x3 area are iceblocked when defeated</t>
  </si>
  <si>
    <t>area-effect, freezing, chilling</t>
  </si>
  <si>
    <t>icebloom</t>
  </si>
  <si>
    <t>https://static.wikia.nocookie.net/plantsvszombies/images/8/8d/Ice_Bloom2.png/revision/latest?cb=20221123060152</t>
  </si>
  <si>
    <t>Dartichoke</t>
  </si>
  <si>
    <t>Dardochofra</t>
  </si>
  <si>
    <t>Dispara poderosos ataques que buscam pelo zumbi mais perigoso na sua fileira. Tem chance de causar dano crítico 3x mais forte que o normal.</t>
  </si>
  <si>
    <t>Shoots darts that deal with damage to a multiple of zombies on the lawn.</t>
  </si>
  <si>
    <t>Has a limited supply of darts, then must recharge</t>
  </si>
  <si>
    <t>Special - Each shot has a chance to do critical damage</t>
  </si>
  <si>
    <t xml:space="preserve">dartichok
</t>
  </si>
  <si>
    <t>https://static.wikia.nocookie.net/plantsvszombies/images/8/8d/Dartichoke2.png/revision/latest?cb=20200209080432</t>
  </si>
  <si>
    <t>Ultomato</t>
  </si>
  <si>
    <t>Ultomate</t>
  </si>
  <si>
    <t>Carrega e lança um feixe devsatador, o poder do ultomato aumenta até 3 vezes para o número de vezes que ele foi plantado.</t>
  </si>
  <si>
    <t>Explodes dealing a massive amount of damage to all zombies on the lawn.</t>
  </si>
  <si>
    <t>Costs more sun the more Ultomatoes are on the board</t>
  </si>
  <si>
    <t>Special - Can be planted on top of itself, mutating from green to yellow to red</t>
  </si>
  <si>
    <t>ultomato</t>
  </si>
  <si>
    <t>https://static.wikia.nocookie.net/plantsvszombies/images/d/df/Ultomato2.png/revision/latest?cb=20230313110032</t>
  </si>
  <si>
    <t>Gumnut</t>
  </si>
  <si>
    <t>Nozclete</t>
  </si>
  <si>
    <t>Lança uma goma de mascar em um zumbi, fazendo com que ele pare e impeça a passagem de outros zumbis.</t>
  </si>
  <si>
    <t>Shoots a large gum bubble that immobilizes a large number of zombies.</t>
  </si>
  <si>
    <t>Best used against Gargantuars &amp; Football Mechs</t>
  </si>
  <si>
    <t>Special - Stronger zombies form stronger barriers</t>
  </si>
  <si>
    <t>gumnut</t>
  </si>
  <si>
    <t>https://static.wikia.nocookie.net/plantsvszombies/images/9/9a/Gumnut2.png/revision/latest?cb=20200318003556</t>
  </si>
  <si>
    <t>Shine Vine</t>
  </si>
  <si>
    <t>Trepadeira Brilhante</t>
  </si>
  <si>
    <t>Pode ser plantada com outra planta, aumentando a produção de sóis dela, produz sóis adicionais, e criando um ataque paralizador quando atacado.</t>
  </si>
  <si>
    <t>Produces sun and stuns all nearby zombies.</t>
  </si>
  <si>
    <t>Best used on sun producer plants</t>
  </si>
  <si>
    <t>Special - Doesn't amplify Moonflower's sun production</t>
  </si>
  <si>
    <t>shinevine</t>
  </si>
  <si>
    <t>https://static.wikia.nocookie.net/plantsvszombies/images/9/97/Shine_Vine2.png/revision/latest?cb=20200625090602</t>
  </si>
  <si>
    <t>Tumbleweed</t>
  </si>
  <si>
    <t>Salsola Rolante</t>
  </si>
  <si>
    <t>Avança pela fileira recocheteando e machucando os zumbis com uma chance de nocautea-los.</t>
  </si>
  <si>
    <t>Special - Set aflame by Torchwood</t>
  </si>
  <si>
    <t>tumbleweed</t>
  </si>
  <si>
    <t>https://static.wikia.nocookie.net/plantsvszombies/images/4/48/Tumbleweed2.png/revision/latest?cb=20200512045045</t>
  </si>
  <si>
    <t>Olive Pit</t>
  </si>
  <si>
    <t>Carfosso de Oliveira</t>
  </si>
  <si>
    <t>Perfura o solo, criando um fosso que consumindo zumbis que passam por ele.</t>
  </si>
  <si>
    <t>Swallow a bunch of zombies, and spit out oil in the surrounding area.</t>
  </si>
  <si>
    <t>Can swallow multiple zombies at a time</t>
  </si>
  <si>
    <t>Special - Spits out zombie-slowing olive oil</t>
  </si>
  <si>
    <t>grounded, control</t>
  </si>
  <si>
    <t>olivepit</t>
  </si>
  <si>
    <t>https://static.wikia.nocookie.net/plantsvszombies/images/5/54/Olive_Pit2.png/revision/latest?cb=20240907001418</t>
  </si>
  <si>
    <t>Puffball</t>
  </si>
  <si>
    <t>Soprobola</t>
  </si>
  <si>
    <t>Explode paralizando e envenenando os zumbis próximos.</t>
  </si>
  <si>
    <t>Repeated Puffball explosions add to the poison</t>
  </si>
  <si>
    <t>area-effect, poison</t>
  </si>
  <si>
    <t>puffball</t>
  </si>
  <si>
    <t>https://static.wikia.nocookie.net/plantsvszombies/images/f/f8/Puffball2.png/revision/latest?cb=20200627015218</t>
  </si>
  <si>
    <t>Explode-O-Vine</t>
  </si>
  <si>
    <t>Vinha Explosiva</t>
  </si>
  <si>
    <t>Pode ser plantada com outra planta para fornece-la mais defesa. Além disso, gera uma explosão quando é plantado e quando é comido.</t>
  </si>
  <si>
    <t>Explode dealing damage to nearby zombies and gain armor. If the armor is destroyed, the armor explode.</t>
  </si>
  <si>
    <t>Can be planted on top of non-vine plants</t>
  </si>
  <si>
    <t>vine, area-effect</t>
  </si>
  <si>
    <t>explodeovine</t>
  </si>
  <si>
    <t>https://static.wikia.nocookie.net/plantsvszombies/images/5/54/Explode-o-Vine2.png/revision/latest?cb=20200803222649</t>
  </si>
  <si>
    <t>Murkadamia Nut</t>
  </si>
  <si>
    <t>Macabradâmia</t>
  </si>
  <si>
    <t>Uma planta que fornece proteção, caso esteja energizada infunde uma geleia que machuca os zumbis e se regenera com o tempo.</t>
  </si>
  <si>
    <t>Gain a shield that can absorb a small amount of damage.</t>
  </si>
  <si>
    <t>Damaged murk regrows over time</t>
  </si>
  <si>
    <t>murkadamia</t>
  </si>
  <si>
    <t>https://static.wikia.nocookie.net/plantsvszombies/images/e/e6/Murkadamia_Nut2.png/revision/latest?cb=20220219133005</t>
  </si>
  <si>
    <t>Turkey-pult</t>
  </si>
  <si>
    <t>Peru-pulta</t>
  </si>
  <si>
    <t>Lança perus de tofu em parábola que avançam e atacam os zumbis.</t>
  </si>
  <si>
    <t>Lobs multiple pumpkin helmets for the tofu turkeys.</t>
  </si>
  <si>
    <t>summon</t>
  </si>
  <si>
    <t>turkeypult</t>
  </si>
  <si>
    <t>https://static.wikia.nocookie.net/plantsvszombies/images/0/02/Turkey-pult2.png/revision/latest?cb=20200915155128</t>
  </si>
  <si>
    <t>Headbutter Lettuce</t>
  </si>
  <si>
    <t>Alface Amanteigada</t>
  </si>
  <si>
    <t>Golpeia zumbis próximos, podendo amanteigar os zumbis.</t>
  </si>
  <si>
    <t>Bashes and throws stunning butter at surrounding area zombies.</t>
  </si>
  <si>
    <t>Resists damage with high health</t>
  </si>
  <si>
    <t>attack_backwards, butter</t>
  </si>
  <si>
    <t>headbutter</t>
  </si>
  <si>
    <t>https://static.wikia.nocookie.net/plantsvszombies/images/2/2d/Headbutter_Lettuce2.png/revision/latest?cb=20201030054125</t>
  </si>
  <si>
    <t>Boingsetta</t>
  </si>
  <si>
    <t>Boingsétia</t>
  </si>
  <si>
    <t>Golpeia o chão causando dano poderoso em estruturas, e empurrando e resfriando os zumbis.</t>
  </si>
  <si>
    <t>Deal heavy damage to all obstacles and slight damage to all zombies, knocking them back and chilling them for a short duration.</t>
  </si>
  <si>
    <t>Heavily damages octopuses, surfboards &amp; gravestones. Destroys chickens &amp; weasels</t>
  </si>
  <si>
    <t>Special - Affects whole board on planting, single lane afterward</t>
  </si>
  <si>
    <t>boingsetta</t>
  </si>
  <si>
    <t>https://static.wikia.nocookie.net/plantsvszombies/images/3/36/Boingsetta2.png/revision/latest?cb=20201030053226</t>
  </si>
  <si>
    <t>Stickybomb Rice</t>
  </si>
  <si>
    <t>Bombarroz Grudenta</t>
  </si>
  <si>
    <t>Ataca os zumbis em parábola com bombas grudentas com temporizadores.</t>
  </si>
  <si>
    <t>Lobs a sticky bomb at every zombie on the lawn.</t>
  </si>
  <si>
    <t xml:space="preserve">Special - Exploding sticky bombs trigger other sticky bombs
</t>
  </si>
  <si>
    <t>stickybombrice</t>
  </si>
  <si>
    <t>https://static.wikia.nocookie.net/plantsvszombies/images/f/f5/Stickybomb_Rice2.png/revision/latest?cb=20220219132542</t>
  </si>
  <si>
    <t>Hocus Crocus</t>
  </si>
  <si>
    <t>Abracaflora</t>
  </si>
  <si>
    <t>Usa magia para retornar o zumbi mais próximo da sua casa, pra longe.</t>
  </si>
  <si>
    <t>Teleports up to three left most zombies to the right most column.</t>
  </si>
  <si>
    <t>Special - Each teleportation also does damage</t>
  </si>
  <si>
    <t>hocus</t>
  </si>
  <si>
    <t>https://static.wikia.nocookie.net/plantsvszombies/images/b/bd/Hocus_Crocus2.png/revision/latest?cb=20210205223344</t>
  </si>
  <si>
    <t>Gloom Vine</t>
  </si>
  <si>
    <t>Trevadeira</t>
  </si>
  <si>
    <t>Pode ser plantada com outra planta para fornece-la mais defesa. Além disso, golpeia todos os zumbis próximos com gás sombrio, e energiza plantas sombrias.</t>
  </si>
  <si>
    <t>Spray a stream of noxious fumes that deals increased damage.</t>
  </si>
  <si>
    <t>Special - Powers shadow plants within</t>
  </si>
  <si>
    <t>gloomvine</t>
  </si>
  <si>
    <t>https://static.wikia.nocookie.net/plantsvszombies/images/8/8a/Gloom_Vine2.png/revision/latest?cb=20210205225758</t>
  </si>
  <si>
    <t>Draftodil</t>
  </si>
  <si>
    <t>Narciseolico</t>
  </si>
  <si>
    <t>Diminui a velocidade de zumbis voadores, além de disparar ar comprimido que pode nocautear zumbis voadores e paraliza zumbis comuns.</t>
  </si>
  <si>
    <t>Blows away all flying zombies in the row. Release multiple air burst that deal damage and stuns zombies in the row.</t>
  </si>
  <si>
    <t>Briefly stuns non-flying zombies</t>
  </si>
  <si>
    <t xml:space="preserve">
Special - Air cannon knocks critters, imps and shrunken zombies off the lawn</t>
  </si>
  <si>
    <t>slowing</t>
  </si>
  <si>
    <t>draftodil</t>
  </si>
  <si>
    <t>https://static.wikia.nocookie.net/plantsvszombies/images/5/52/Draftodil2.png/revision/latest?cb=20210203212740</t>
  </si>
  <si>
    <t>Boom Ballon Flower</t>
  </si>
  <si>
    <t>Flor balão bombastica</t>
  </si>
  <si>
    <t>Invoca flores-balão que explodem ao contato com zumbis, você pode agrupar até 3 flores em um único quadrado.</t>
  </si>
  <si>
    <t>Spawns a giant Doom-shroom balloon named the "Doom Balloon", that will explode once it reaches the fifth column.</t>
  </si>
  <si>
    <t>Tap or drag from Boom Balloon Flower to move a balloon to a tile</t>
  </si>
  <si>
    <t>control, explosion</t>
  </si>
  <si>
    <t>boomflower</t>
  </si>
  <si>
    <t>https://static.wikia.nocookie.net/plantsvszombies/images/2/23/Boom_Balloon_Flower2.png/revision/latest?cb=20220221101417</t>
  </si>
  <si>
    <t>Pea Vine</t>
  </si>
  <si>
    <t>Trepadeirervilha</t>
  </si>
  <si>
    <t>Pode ser plantada com outra planta para fornece-la mais defesa. Além disso, dispara uma ervilha contra os zumbis, e aumena o dano das plantas da classe Dispara em 1.5x.</t>
  </si>
  <si>
    <t>Fires a barrage of peas.</t>
  </si>
  <si>
    <t>Boosts Appease-mint Family plants</t>
  </si>
  <si>
    <t>pvine</t>
  </si>
  <si>
    <t>https://static.wikia.nocookie.net/plantsvszombies/images/a/a1/Pea_Vine2.png/revision/latest?cb=20210916020642</t>
  </si>
  <si>
    <t>Inferno</t>
  </si>
  <si>
    <t>Incendiária</t>
  </si>
  <si>
    <t>Lança um tornado de fogo que queima e empurra zumbis.</t>
  </si>
  <si>
    <t>Create a huge fire tornado that pulls zombies in the adjacent columns, dealing heavy damage.</t>
  </si>
  <si>
    <t>inferno</t>
  </si>
  <si>
    <t>https://static.wikia.nocookie.net/plantsvszombies/images/7/7e/Inferno2.png/revision/latest?cb=20210916020513</t>
  </si>
  <si>
    <t>Solar Sage</t>
  </si>
  <si>
    <t>Sálvia solar</t>
  </si>
  <si>
    <t>Ilumina um zumbi, fazendo com que trancenda-o e retorne o caminho enquanto produz sóis adicionais.</t>
  </si>
  <si>
    <t>Illuminates zombies in the surrounding area, causing them to fight other zombies. Produces sun if there are no valid zombies in its effect area.</t>
  </si>
  <si>
    <t>solarsage</t>
  </si>
  <si>
    <t>https://static.wikia.nocookie.net/plantsvszombies/images/9/96/Solar_Sage2.png/revision/latest?cb=20210621230624</t>
  </si>
  <si>
    <t>Power Vine</t>
  </si>
  <si>
    <t>Trepadeira Elétrica</t>
  </si>
  <si>
    <t>Pode ser plantada com outra planta para fornece-la mais defesa. Além disso, dispara rajadas eletricas que ficam mais fortes se estiver conectado a outra desta planta.</t>
  </si>
  <si>
    <t>Disable nearby mechanical enemies and unleashes a wave of energy bolts. When he's linked with another Power Vine, unleashes 3 waves of energy bolts.</t>
  </si>
  <si>
    <t>Special - Power Vines horizontally or vertically adjacent to other Power Vines form a network</t>
  </si>
  <si>
    <t>powervine</t>
  </si>
  <si>
    <t>https://static.wikia.nocookie.net/plantsvszombies/images/9/95/Power_Vine2.png/revision/latest?cb=20210803233254</t>
  </si>
  <si>
    <t>Noctarine</t>
  </si>
  <si>
    <t>Noturnarina</t>
  </si>
  <si>
    <t>Explode energizando plantas sombrias em uma área, e deixando um gás que machuca e deixa zumbis lentos.</t>
  </si>
  <si>
    <t>Special - Noctarine gas can power shadow plants
Special - Powered Noctarine gas slows zombies
Special - Powered Noctarine gas can create exploding zombies</t>
  </si>
  <si>
    <t>area-effect, poison, slowing</t>
  </si>
  <si>
    <t>noctarine</t>
  </si>
  <si>
    <t>https://static.wikia.nocookie.net/plantsvszombies/images/a/af/Noctarine2.png/revision/latest?cb=20210717084648</t>
  </si>
  <si>
    <t>Heath Seeker</t>
  </si>
  <si>
    <t>Urze caçadora</t>
  </si>
  <si>
    <t>Se detona lançando uma saraivada de dardos perfurantes.</t>
  </si>
  <si>
    <t>Special - Can target from anywhere on the lawn</t>
  </si>
  <si>
    <t>heathseeker</t>
  </si>
  <si>
    <t>https://static.wikia.nocookie.net/plantsvszombies/images/4/49/Heath_Seeker2.png/revision/latest?cb=20210916015504</t>
  </si>
  <si>
    <t>Iceweed</t>
  </si>
  <si>
    <t>Hera do gelo</t>
  </si>
  <si>
    <t>Machuca os zumbis que passam por ele além de resfria-los.</t>
  </si>
  <si>
    <t>Summons a sawblade that knockbacks and freezes all zombies in the column. Permanently increases damage.</t>
  </si>
  <si>
    <t>grounded, spikes, chilling</t>
  </si>
  <si>
    <t>iceweed</t>
  </si>
  <si>
    <t>https://static.wikia.nocookie.net/plantsvszombies/images/d/d9/Iceweed2.png/revision/latest?cb=20211115203447</t>
  </si>
  <si>
    <t>Tiger Grass</t>
  </si>
  <si>
    <t>Grama Tigre</t>
  </si>
  <si>
    <t>Invoca um tigre grama que golpeia zumbis próximos, crescendo com o tempo.</t>
  </si>
  <si>
    <t>Spawn a fully grown grass tiger that deals a large amount of damage to a zombie.</t>
  </si>
  <si>
    <t>Special - Grass tiger grows over time</t>
  </si>
  <si>
    <t>zodiac</t>
  </si>
  <si>
    <t>tigergrass</t>
  </si>
  <si>
    <t>https://static.wikia.nocookie.net/plantsvszombies/images/6/6f/Tiger_Grass2.png/revision/latest?cb=20211212021638</t>
  </si>
  <si>
    <t>Teleportato Mine</t>
  </si>
  <si>
    <t>Telebatata Mina</t>
  </si>
  <si>
    <t>Teleporta os zumbis para a sua posição e explode.</t>
  </si>
  <si>
    <t>control, explosion, area-effect</t>
  </si>
  <si>
    <t>teleportatomine</t>
  </si>
  <si>
    <t>https://static.wikia.nocookie.net/plantsvszombies/images/1/1b/Teleportato_Mine2.png/revision/latest?cb=20211212021625</t>
  </si>
  <si>
    <t>Blockoli</t>
  </si>
  <si>
    <t>Blócoli</t>
  </si>
  <si>
    <t>Entre em posição defensiva atordoando zumbis próximos.</t>
  </si>
  <si>
    <t>Swings his florets around dealing damage and stunning Zombies in the surrounding area. Gain two iron shields that can absorb a large amount of damage.</t>
  </si>
  <si>
    <t>blockoli</t>
  </si>
  <si>
    <t>https://static.wikia.nocookie.net/plantsvszombies/images/2/2a/Blockoli2.png/revision/latest?cb=20220206062157</t>
  </si>
  <si>
    <t>Buttercup</t>
  </si>
  <si>
    <t>Douradinha</t>
  </si>
  <si>
    <t>Lança manteiga no zumbi atacante, paralizando-o com a manteiga.</t>
  </si>
  <si>
    <t>Throws butter immediately in front of her, dealing damage and stunning zombies for a long duration.</t>
  </si>
  <si>
    <t>Special - Creates buttering butter splats</t>
  </si>
  <si>
    <t>buttercup</t>
  </si>
  <si>
    <t>https://static.wikia.nocookie.net/plantsvszombies/images/6/64/Buttercup2.png/revision/latest?cb=20220205081753</t>
  </si>
  <si>
    <t>Bramble Bush</t>
  </si>
  <si>
    <t>Armora</t>
  </si>
  <si>
    <t>Prende e golpeia um zumbi que passe por ele, as bagas mostram o número de armadilhas disponíveis.</t>
  </si>
  <si>
    <t>Regenerate all of his berry traps and trap the leftmost zombie in his column, dealing 2x damage for a short duration.</t>
  </si>
  <si>
    <t>bramblebush</t>
  </si>
  <si>
    <t>https://static.wikia.nocookie.net/plantsvszombies/images/f/fb/Bramble_Bush2.png/revision/latest?cb=20220404224349</t>
  </si>
  <si>
    <t xml:space="preserve">Rhubarbarian </t>
  </si>
  <si>
    <t>Ruibárbaro</t>
  </si>
  <si>
    <t>Chega com um impacto, golpeando ferozmente os oponentes, quando o oponente é nocauteado, ele avança para o próximo inimigo na fileira, até sair por completo ou acabar o tempo.</t>
  </si>
  <si>
    <t>Somersaults forward if runs out of stuff to punch</t>
  </si>
  <si>
    <t>rhubarbarian</t>
  </si>
  <si>
    <t>https://static.wikia.nocookie.net/plantsvszombies/images/f/f6/Rhubarbarian2.png/revision/latest?cb=20220512063614</t>
  </si>
  <si>
    <t>Mega Gatling Pea</t>
  </si>
  <si>
    <t>Megametralhervilha</t>
  </si>
  <si>
    <t>Dispara quatro ervilhas contra os zumbis, e tem chance de se auto adubar.</t>
  </si>
  <si>
    <t>Shoots a huge number of peas out, dealing massive damage. Normal attack will fire five peas instead of four, permanently.</t>
  </si>
  <si>
    <t>Special - Upgrades to 5x firing speed if Plant Fooded
Special - Has chance to randomly Plant Food himself</t>
  </si>
  <si>
    <t>megagatling</t>
  </si>
  <si>
    <t>https://static.wikia.nocookie.net/plantsvszombies/images/1/17/Mega_Gatling_Pea2.png/revision/latest?cb=20220907040154</t>
  </si>
  <si>
    <t>Levitater</t>
  </si>
  <si>
    <t>Levatata</t>
  </si>
  <si>
    <t>Levita zumbis aleatório, com chance de remove-los do campo.</t>
  </si>
  <si>
    <t>Knock back multiple zombies through levitation. Zombies knocked back have a chance of being tossed off the lawn.</t>
  </si>
  <si>
    <t>Special - Levitated zombies cannot be Blovered</t>
  </si>
  <si>
    <t>levitater</t>
  </si>
  <si>
    <t>https://static.wikia.nocookie.net/plantsvszombies/images/1/1a/Levitater2.png/revision/latest?cb=20220614050517</t>
  </si>
  <si>
    <t>Tomb Tangler</t>
  </si>
  <si>
    <t>Enrosca-cova</t>
  </si>
  <si>
    <t>Prende uma cova, emitindo um gás que deixa os zumbis mais lentos e pode aleatoriamente puxa-los para o subsolo.</t>
  </si>
  <si>
    <t>Drags up to 2 zombies down.</t>
  </si>
  <si>
    <t>Special - Can only be Planted on Tombstones.</t>
  </si>
  <si>
    <t>stun, grave</t>
  </si>
  <si>
    <t>tombtangler</t>
  </si>
  <si>
    <t>https://static.wikia.nocookie.net/plantsvszombies/images/d/d4/Tomb_Tangler2.png/revision/latest?cb=20220825052601</t>
  </si>
  <si>
    <t>Vamporcini</t>
  </si>
  <si>
    <t>Drena a vida dos zumbis próximos por alguns segundos então se mantêm na defensiva.</t>
  </si>
  <si>
    <t>Grants permanent health drain, that both heals and increases max health, without a cooldown.</t>
  </si>
  <si>
    <t>Special - Plant Food will activate the Drain indefinitely</t>
  </si>
  <si>
    <t>heals, area-effect</t>
  </si>
  <si>
    <t>vamporcini</t>
  </si>
  <si>
    <t>https://static.wikia.nocookie.net/plantsvszombies/images/2/28/Vamporcini2.png/revision/latest?cb=20220916012705</t>
  </si>
  <si>
    <t>Meteor Flower</t>
  </si>
  <si>
    <t>Flor Meteórica</t>
  </si>
  <si>
    <t>Conjura um meteoro que golpeia o chão deixando uma poça aquecida e afasta dinossauros.</t>
  </si>
  <si>
    <t>Conjure 3 meteor strikes, dealing damage and creates a molten pool at the impact point.</t>
  </si>
  <si>
    <t xml:space="preserve">
Special - Plant Food will conjure a flurry of meteor strikes</t>
  </si>
  <si>
    <t>meteorflower</t>
  </si>
  <si>
    <t>https://static.wikia.nocookie.net/plantsvszombies/images/1/15/Meteor_Flower2.png/revision/latest?cb=20220916012728</t>
  </si>
  <si>
    <t>Chilly Pepper</t>
  </si>
  <si>
    <t>Pimentinha</t>
  </si>
  <si>
    <t>Explode causando dano na sua fileira e ainda resfria os alvos desta fileira e das adjacentes.</t>
  </si>
  <si>
    <t>area-effect, chilling, explosion</t>
  </si>
  <si>
    <t xml:space="preserve">chillypepper
</t>
  </si>
  <si>
    <t>PvZ 2, PvZ Heroes, PvZA, PvZ 3</t>
  </si>
  <si>
    <t>https://static.wikia.nocookie.net/plantsvszombies/images/d/da/Chilly_Pepper2.png/revision/latest?cb=20221105224813</t>
  </si>
  <si>
    <t>Bun Chi</t>
  </si>
  <si>
    <t>Golpeia e empurra, acumulando até 5 pontos de Chi, aumentando seu dano a cada ponto. Por fim pode liberar um golpe relâmpago gastandos os 5 pontos.</t>
  </si>
  <si>
    <t>Immediately triggers thunder clap, dealing damage in a 3x3 area and reducing zombie damage.</t>
  </si>
  <si>
    <t>Special - Gain a Max of 5 Chi stacks with each successive Chain of Attacks. Each Stack will upgrade damage and knockback.
Special - At Level 5, tap the glowing flower to unleash a devastating Thunderclap Attack.</t>
  </si>
  <si>
    <t>waterrabbit</t>
  </si>
  <si>
    <t>https://static.wikia.nocookie.net/plantsvszombies/images/4/4f/Bun_Chi2.png/revision/latest?cb=20230201230126</t>
  </si>
  <si>
    <t>Bzzz Button</t>
  </si>
  <si>
    <t>Jambelétrica</t>
  </si>
  <si>
    <t>Quando comido, eletrifica o zumbi causando dano ao decorrer do tempo, podendo propaga-lo, e diminuindo levemente sua velocidade.</t>
  </si>
  <si>
    <t>Detonate and ELECTRIFIES all zombies in a 3x3 area.</t>
  </si>
  <si>
    <t>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t>
  </si>
  <si>
    <t>slowing, electrified, control, chain_attack</t>
  </si>
  <si>
    <t>buzzbuttoon</t>
  </si>
  <si>
    <t>https://static.wikia.nocookie.net/plantsvszombies/images/0/02/Bzzz_Button2.png/revision/latest?cb=20230201230140</t>
  </si>
  <si>
    <t>BoomBerry</t>
  </si>
  <si>
    <t>Bumora</t>
  </si>
  <si>
    <t>Lança berries explosivas em parábola no último zumbi da fileira, atordoando-o brevemente.</t>
  </si>
  <si>
    <t>Launches multiple projectiles, blanketing the target column with explosive berries.</t>
  </si>
  <si>
    <t xml:space="preserve">Especially effective against Zcorpion, Octo and Wizard zombies.
</t>
  </si>
  <si>
    <t>boomberry</t>
  </si>
  <si>
    <t>https://static.wikia.nocookie.net/plantsvszombies/images/a/a8/BoomBerry2.png/revision/latest?cb=20230201230214</t>
  </si>
  <si>
    <t>SeaFlora</t>
  </si>
  <si>
    <t>Flora-Mar</t>
  </si>
  <si>
    <t>Planta anfíbia. Dispara uma bolha perfurante, caso esteja na água, causará menos dano, mas lançará bolhas também nas colunas adjacentes.</t>
  </si>
  <si>
    <t>Fires a giant bubble down its lane, pushing back zombies, then exploding for massive damage. Improves to 3 lanes when planted on water.</t>
  </si>
  <si>
    <t>Team SeaFlora with slow or other push zombies to take advantage of the large bubble explosion during its plant food.</t>
  </si>
  <si>
    <t>seaflora</t>
  </si>
  <si>
    <t>https://static.wikia.nocookie.net/plantsvszombies/images/8/8f/SeaFlora2.png/revision/latest?cb=20230314003534</t>
  </si>
  <si>
    <t>MayBee</t>
  </si>
  <si>
    <t>Mabelha</t>
  </si>
  <si>
    <t>Lança até 3 abelhas em zumbis que se aproximam, causando dano ao decorrer do tempo.</t>
  </si>
  <si>
    <t>Fires a barrage of stronger bee-like projectiles to seek out targets all across the board and for a short time leaves zombies that survived the attack stunned!</t>
  </si>
  <si>
    <t>When fired over Lightning Reed projectile damage is boosted. Try this with Plant Food for maximum damage!</t>
  </si>
  <si>
    <t>stun, summon</t>
  </si>
  <si>
    <t>maybee</t>
  </si>
  <si>
    <t>https://static.wikia.nocookie.net/plantsvszombies/images/3/38/MayBee2.png/revision/latest?cb=20230314003517</t>
  </si>
  <si>
    <t>Scaredy-shroom</t>
  </si>
  <si>
    <t>Medogumelo</t>
  </si>
  <si>
    <t>Dispara esporos contra zumbis, mas se esconde quando zumbis se aproximam, ganhando uma leve proteção.</t>
  </si>
  <si>
    <t>Scaredy-shroom rallies himself and surrounding Scaredy-shrooms to fire a stream of spores that push back advancing zombies.</t>
  </si>
  <si>
    <t>Scaredy-shroom has a stronger defense when hiding from zombies.</t>
  </si>
  <si>
    <t>damage_reduction</t>
  </si>
  <si>
    <t>scaredyshroom</t>
  </si>
  <si>
    <t>PvZ, PvZ 2, PvZ GW, PvZ GW 2, PvZ BfN</t>
  </si>
  <si>
    <t>https://static.wikia.nocookie.net/plantsvszombies/images/1/13/Scaredy-shroom2.png/revision/latest?cb=20230415232226</t>
  </si>
  <si>
    <t>Bamboo Spartan</t>
  </si>
  <si>
    <t>Bambu Espartano</t>
  </si>
  <si>
    <t>Tem um escudo que aguenta danos massívos, enqunto golpeia zumbis próximos. Quando seu escudo é quebrado seu dano é triplicado.</t>
  </si>
  <si>
    <t>Slams its Spear to knockback zombies multiple times.</t>
  </si>
  <si>
    <t>Bamboo Spartan can give and take a lot of punishment, making him a very effective frontliner.</t>
  </si>
  <si>
    <t>Special - Bamboo Spartan enters a Battle Trance once his shield shatters, increasing his damage.</t>
  </si>
  <si>
    <t>bamboospartan</t>
  </si>
  <si>
    <t>https://static.wikia.nocookie.net/plantsvszombies/images/0/0e/Bamboo_Spartan2.png/revision/latest?cb=20230419024648</t>
  </si>
  <si>
    <t>Sundew Tangler</t>
  </si>
  <si>
    <t>Enrosca-orvalho</t>
  </si>
  <si>
    <t>Prende um zumbi causando dano e gerando sóis adicionais. Esta planta é imortal.</t>
  </si>
  <si>
    <t>Entangle multiple zombies across the board to temporarily trap them and produce sun.</t>
  </si>
  <si>
    <t>Sundew Tangler is an extremely efficient trap that can act as a secondary sun producer as well as a wall when it has a zombie in its clutches.</t>
  </si>
  <si>
    <t>Special - Sundew Tangler can trap a Zombie and use it to block other enemies from advancing while periodically producing sun as it leeches the trapped Zombie.</t>
  </si>
  <si>
    <t>immortal, chomper</t>
  </si>
  <si>
    <t>sundewtangler</t>
  </si>
  <si>
    <t>https://static.wikia.nocookie.net/plantsvszombies/images/9/9e/Sundew_Tangler2.png/revision/latest?cb=20230607011345</t>
  </si>
  <si>
    <t>Bean Sprout</t>
  </si>
  <si>
    <t>Broto de Feijão</t>
  </si>
  <si>
    <t>Fornece uma proteção básica para as plantas, quando recebe dano, se transforma em um mostro que golpeia os zumbis próximos. Depois de um tempo ele se acalma e volta ao normal.</t>
  </si>
  <si>
    <t>Transforms into its monster form, if it wasn't already, and sends massive shockwaves both in front and behind him.</t>
  </si>
  <si>
    <t>Planting another Bean Sprout on an existing one, will force him into its monster form.</t>
  </si>
  <si>
    <t>beansprout</t>
  </si>
  <si>
    <t>https://static.wikia.nocookie.net/plantsvszombies/images/e/e9/Bean_Sprout2.png/revision/latest?cb=20230826230227</t>
  </si>
  <si>
    <t>Nightcap</t>
  </si>
  <si>
    <t>Touquinha</t>
  </si>
  <si>
    <t>Dispara esporos perfurantes contra zumbis envenenando, e ficando em um modo furtivo tóxico quando um zumbi se aproxima. Esta planta é imortal.</t>
  </si>
  <si>
    <t>Poison Zombies in 3 lanes and push them back!</t>
  </si>
  <si>
    <t>Avoids most zombie attacks</t>
  </si>
  <si>
    <t>poison, immortal, area-effect</t>
  </si>
  <si>
    <t>nightcap</t>
  </si>
  <si>
    <t>PvZ 2, PvZ 2 Chinease, PvZ Heroes, PvZ BfN</t>
  </si>
  <si>
    <t>https://static.wikia.nocookie.net/plantsvszombies/images/7/7f/Nightcap2.png/revision/latest?cb=20230314003500</t>
  </si>
  <si>
    <t>Cran Jelly</t>
  </si>
  <si>
    <t>Arantina</t>
  </si>
  <si>
    <t>Avança pela fileira golpeando os zumbis, deixando uma poça de jeleia pelo campo de diminui a velocidade dos zumbis. Pode gerar uma cópia desta planta nas colunas adjacentes.</t>
  </si>
  <si>
    <t>Cran Jelly works best when zombies are clumped together. Level it up to increase the number of lanes it will roll down.</t>
  </si>
  <si>
    <t>cranjelly</t>
  </si>
  <si>
    <t>https://static.wikia.nocookie.net/plantsvszombies/images/f/fc/Cran_Jelly2.png/revision/latest?cb=20230826073858</t>
  </si>
  <si>
    <t>Bud'uh Boom</t>
  </si>
  <si>
    <t>Broto Bum</t>
  </si>
  <si>
    <t>Explode em uma área causando dano e amanteigando zumbis pelo campo.</t>
  </si>
  <si>
    <t>Bud'uh Boom makes short work of clumped up zombies. Level it up to increase the amount of butter traps he will fling around the board.</t>
  </si>
  <si>
    <t>area-effect, explosion, butter</t>
  </si>
  <si>
    <t>buduhboom</t>
  </si>
  <si>
    <t>https://static.wikia.nocookie.net/plantsvszombies/images/6/60/Bud%27uh_Boom2.png/revision/latest?cb=20231129165733</t>
  </si>
  <si>
    <t>Ice-shroom</t>
  </si>
  <si>
    <t>Gelogumelo</t>
  </si>
  <si>
    <t>Golpeia zumbis próximos, e emite uma aura gélida que resfria zumbis e fortalece plantas Resfriadas.</t>
  </si>
  <si>
    <t>Lobs several icicles at random zombies across the field.</t>
  </si>
  <si>
    <t>Cluster other Winter-mints plants around Ice-shroom to gain a massive damage bonus.</t>
  </si>
  <si>
    <t>iceshroom</t>
  </si>
  <si>
    <t>PvZ, PvZ 2, PvZ GW, PvZ GW 2</t>
  </si>
  <si>
    <t>https://static.wikia.nocookie.net/plantsvszombies/images/7/77/Ice-shroom2.png/revision/latest?cb=20231123040702</t>
  </si>
  <si>
    <t>Dragon Bruit</t>
  </si>
  <si>
    <t>Dragamontes</t>
  </si>
  <si>
    <t>Lança 3 sementes em parábola na sua fileira e nas adjacentes. Quando energizada, seus disparos causam veneno. Quando morre, cria 3 Dragomonte sementes na sua fileira e nas adjacentes.</t>
  </si>
  <si>
    <t>Launches projectiles at every zombie on the lawn. Can be boosted by Shadow Aura.</t>
  </si>
  <si>
    <t>Properly placed your Dragon Bruit and can attack zombies across 3 adjacent lanes.</t>
  </si>
  <si>
    <t>Special - When powered by Shadow Aura, projectiles will also apply poison.</t>
  </si>
  <si>
    <t>zodiac, dragon, summon</t>
  </si>
  <si>
    <t>dragonbruit</t>
  </si>
  <si>
    <t>https://static.wikia.nocookie.net/plantsvszombies/images/a/a9/Dragon_Bruit2.png/revision/latest?cb=20231218173201</t>
  </si>
  <si>
    <t>Electric Peel</t>
  </si>
  <si>
    <t>Casca Elétrica</t>
  </si>
  <si>
    <t>Planta anfíbia. Ataca os zumbis duas vezes por ataque. Causa mais dano na água.</t>
  </si>
  <si>
    <t>Releases a giant Super Peel down the lane to deal massive damage to all zombies in its path.</t>
  </si>
  <si>
    <t>Electric Peel gets boosted damage on water tiles and applies DOT damage on tiles.</t>
  </si>
  <si>
    <t>Special - When planted on water, its damage is increased. The Peel applies an Electrifying Condition to the tiles it travels on.
Electrified Condition - Electrified Zombies take damage over time as long as they occupy the tiles that have been Electrified.</t>
  </si>
  <si>
    <t>aquatic, chain_attack</t>
  </si>
  <si>
    <t>electricpeel</t>
  </si>
  <si>
    <t>https://static.wikia.nocookie.net/plantsvszombies/images/4/49/Electric_Peel2.png/revision/latest?cb=20240321225940</t>
  </si>
  <si>
    <t>Sea-shroom</t>
  </si>
  <si>
    <t>Cogumarinho</t>
  </si>
  <si>
    <t>Dispara esporos contra zumbis por um período limitado de tempo. Só pode ser plantada na água.</t>
  </si>
  <si>
    <t>Creates a clone of itself, resets the wither timer on all Sea-shroom on the gameboard, then triggers all Sea-shroom to fire a stream of spores.</t>
  </si>
  <si>
    <t>Applying Plant Food to Sea-shroom will reset all Sea-shroom wither timers, as well as trigger every Sea-shroom to fire their spore stream.</t>
  </si>
  <si>
    <t>aquatic, fade</t>
  </si>
  <si>
    <t>seashroom</t>
  </si>
  <si>
    <t>PvZ, PvZ 2, PvZ Heroes</t>
  </si>
  <si>
    <t>https://static.wikia.nocookie.net/plantsvszombies/images/d/dd/Sea-shroom2.png/revision/latest?cb=20240506102548</t>
  </si>
  <si>
    <t>Guard-shroom</t>
  </si>
  <si>
    <t>Guardamelo</t>
  </si>
  <si>
    <t>Planta anfíbia. Invoca mini versões dele em espaços adjacentes. Esses minigumelos podem engolir zumbis e impulsionar outras plantas do tipo 'Cogumelo'.</t>
  </si>
  <si>
    <t>Main Body - Drags several zombies and pummels them. Mini - Retriggers the Plant Food ability of the host plant.</t>
  </si>
  <si>
    <t>Guard-shroom's Minis will grant a significant boost to all shroom type plants and give an extra boost to Sea-shroom, Puff-shroom, Scaredy-shroom and Nightcap.</t>
  </si>
  <si>
    <t>guardshroom</t>
  </si>
  <si>
    <t>https://static.wikia.nocookie.net/plantsvszombies/images/5/55/Guard-shroom2.png/revision/latest?cb=20240227153646</t>
  </si>
  <si>
    <t>Aqua Vine</t>
  </si>
  <si>
    <t>Trepadeira Áquatica</t>
  </si>
  <si>
    <t>Planta anfíbia. Pode ser plantada com outra planta para fornece-la mais defesa, incluindo plantas aquáticas. Pode lançar um disparo concentrado ou um disparo perfurante, dependendo da planta que está agrupada.</t>
  </si>
  <si>
    <t>Attracts zombies and then blasts them away with a jet of water.</t>
  </si>
  <si>
    <t>Aqua Vine can support ground type plants in water and water type plants on ground. Use this versatility to optimize your plant placement.</t>
  </si>
  <si>
    <t>aquatic, vine</t>
  </si>
  <si>
    <t>aquavine</t>
  </si>
  <si>
    <t>https://static.wikia.nocookie.net/plantsvszombies/images/4/47/Aqua_Vine2.png/revision/latest?cb=20240316065724</t>
  </si>
  <si>
    <t>Mangofier</t>
  </si>
  <si>
    <t>Mangalupa</t>
  </si>
  <si>
    <t>Planta que ataca em parábola, podendo alternar entre os modos focado, acertando um golpe explosivo no zumbi na fileira, e multidão acertando o primeiro zumbi de cada fileira.</t>
  </si>
  <si>
    <t>Focuses ambient energy to continuously blast zombies on the lawn.</t>
  </si>
  <si>
    <t>Mangofier's long range attack can switch between focus damage, taking out high value targets or spread damage to take out multiple smaller threats.</t>
  </si>
  <si>
    <t>mangofier</t>
  </si>
  <si>
    <t>https://static.wikia.nocookie.net/plantsvszombies/images/d/de/Mangofier2.png/revision/latest?cb=20240316153318</t>
  </si>
  <si>
    <t>Blast Spinner</t>
  </si>
  <si>
    <t>Estoura-Teia</t>
  </si>
  <si>
    <t>Planta que ataca em parábola, podendo atirar teias também nas colunas adjacentes. A teia imobiliza os zumbis, e pode transforma-los em casulos que explodem e causam dano em área.</t>
  </si>
  <si>
    <t>Launches multiple web cocoons at nearby zombies, turning them into explosive cocoons.</t>
  </si>
  <si>
    <t>It takes a few seconds for Blast Spinner’s cocoons to explode, clump zombies up to maximize the damage potential.</t>
  </si>
  <si>
    <t>blastspinner</t>
  </si>
  <si>
    <t>https://static.wikia.nocookie.net/plantsvszombies/images/2/21/Blast_Spinner2.png/revision/latest?cb=20240825171337</t>
  </si>
  <si>
    <t>Doom-shroom</t>
  </si>
  <si>
    <t>Ruinagumelo</t>
  </si>
  <si>
    <t>Cogumelo que cresce com o tempo, aumentando seu dano e sua área de explosão. Ao chegar no nível 3 de crescimento, ao explodir, gera uma cópia de nível 1 no local da explosão.</t>
  </si>
  <si>
    <t>All Doom-shrooms on the lawn will grow a stage, and then explode and spawn additional Doom-shrooms.</t>
  </si>
  <si>
    <t>Doom-shrooms will leave a crater when they explode, temporarily preventing planting of new plants. Be cautious to not over trigger too many Plant foods.</t>
  </si>
  <si>
    <t>doomshroom</t>
  </si>
  <si>
    <t>PvZ, PvZ 2, PvZ Heroes, PvZ GW, PvZ GW 2, PvZ BfN</t>
  </si>
  <si>
    <t>https://static.wikia.nocookie.net/plantsvszombies/images/9/92/Doom-shroom2.png/revision/latest?cb=20241103020717</t>
  </si>
  <si>
    <t>Blazeleaf</t>
  </si>
  <si>
    <t>Pirofolha</t>
  </si>
  <si>
    <t>Uma planta que golpeia inimigos próximos com fogo, realizando um combo de três ataques, que gera uma onda de fogo.</t>
  </si>
  <si>
    <t>Launches a swirling fiery wave of energy damaging all the zombies on the lawn.</t>
  </si>
  <si>
    <t>Blaze Leaf can target zombies in the front and back as well so position it wisely.</t>
  </si>
  <si>
    <t>blazeleaf</t>
  </si>
  <si>
    <t>https://static.wikia.nocookie.net/plantsvszombies/images/7/79/Blaze_Leaf2.png/revision/latest?cb=20241024015246</t>
  </si>
  <si>
    <t>Frost Bonnet</t>
  </si>
  <si>
    <t>Gorro Gelado</t>
  </si>
  <si>
    <t>Uma flor que pode alternar entre os modos de congelamento, e incineração, que causam mais dano a alvos congelados.</t>
  </si>
  <si>
    <t>Launches a combo fire and ice attack at nearby zombies. Zombies destroyed will turn into an ice wall.</t>
  </si>
  <si>
    <t>Frost Bonnet deals bonus damage to zombies affected by chill. Tap to toggle between the firing modes to maximize its damage.</t>
  </si>
  <si>
    <t>chilling, warm, fire_immunity, freezing_immunity</t>
  </si>
  <si>
    <t>frostbonnet</t>
  </si>
  <si>
    <t>https://static.wikia.nocookie.net/plantsvszombies/images/8/84/Frost_Bonnet2.png/revision/latest?cb=20241024014551</t>
  </si>
  <si>
    <t>Znake Lilly</t>
  </si>
  <si>
    <t>Lirío Zumbóide</t>
  </si>
  <si>
    <t>Dispara um tornado mágico no zumbi mais próximo, transformando-o em um zumbóide. Zumbis que não podem ser transformados recebem grande dano.</t>
  </si>
  <si>
    <t>Launches multiple tornados to transform zombies into various types of plant "zomboids".</t>
  </si>
  <si>
    <t>Znake Lily can transform zombies into strong plant "zomboids" as it levels up.</t>
  </si>
  <si>
    <t>zodiac, zumboid, control</t>
  </si>
  <si>
    <t>znakelily</t>
  </si>
  <si>
    <t>https://static.wikia.nocookie.net/plantsvszombies/images/f/f0/Znake_Lily2.png/revision/latest?cb=20241011125933</t>
  </si>
  <si>
    <t>Sweetheart Snare</t>
  </si>
  <si>
    <t>Almadilha Gêmea</t>
  </si>
  <si>
    <t>Machuca e deixa lento os zumbis que passarem por ela, se houver mais desta planta em uma coluna adjacente, o efeito é ampliado.</t>
  </si>
  <si>
    <t>Launches multiple thorns both forwards and backward, while also activating other Sweetheart Snares on the lawn.</t>
  </si>
  <si>
    <t>Plant Sweetheart Snare and connect her with others, within the same column, to gain damage and slow bonuses.</t>
  </si>
  <si>
    <t>grounded, immortal, spikes, slowing</t>
  </si>
  <si>
    <t>sweetheartsnare</t>
  </si>
  <si>
    <t>https://static.wikia.nocookie.net/plantsvszombies/images/a/a4/Sweetheart_Snare2.png/revision/latest/scale-to-width-down/70?cb=20250121231122</t>
  </si>
  <si>
    <t>Hammeruit</t>
  </si>
  <si>
    <t>Marteluit</t>
  </si>
  <si>
    <t>Golpeia em três colunas diferentes, causando mais dano quanto mais tempo ela está inativa.</t>
  </si>
  <si>
    <t>Slams its hammer 3 times in a row, dealing increasing damage with each hit. Releases shockwaves at the last hit that travels in 3 directions.</t>
  </si>
  <si>
    <t>Hammeruit's attack deals more damage, the more it has to wait to attack.</t>
  </si>
  <si>
    <t>hammeruit</t>
  </si>
  <si>
    <t>https://static.wikia.nocookie.net/plantsvszombies/images/d/d0/Hammeruit2.png/revision/latest/scale-to-width-down/70?cb=20250108203307</t>
  </si>
  <si>
    <t>Appease-mint</t>
  </si>
  <si>
    <t>Dispara-menta</t>
  </si>
  <si>
    <t>Dispara uma saraivadas de ervilhas pelo campo, além de impulsionar temporariamente as plantas da família Dispara no campo.</t>
  </si>
  <si>
    <t>Power Mints</t>
  </si>
  <si>
    <t>appeasemint</t>
  </si>
  <si>
    <t>Enlighten-mint</t>
  </si>
  <si>
    <t>Esclareci-menta</t>
  </si>
  <si>
    <t>Produz sóis adicionais, além de impulsionar temporariamente as plantas da família Esclarecida no campo.</t>
  </si>
  <si>
    <t>enlightenmint</t>
  </si>
  <si>
    <t>Reinforce-mint</t>
  </si>
  <si>
    <t>Endureci-menta</t>
  </si>
  <si>
    <t>Empurra os zumbis para trás, além de impulsionar temporariamente as plantas da família Endurecida no campo ativando os seus efeitos de adulbo.</t>
  </si>
  <si>
    <t>reinforcemint</t>
  </si>
  <si>
    <t>Bombard-mint</t>
  </si>
  <si>
    <t>Bombarda-menta</t>
  </si>
  <si>
    <t>Causa 3 explosões no campo, além de impulsionar temporariamente as plantas da família Bombarda no campo.</t>
  </si>
  <si>
    <t>Does 3 explosion attacks</t>
  </si>
  <si>
    <t>Ataque em área</t>
  </si>
  <si>
    <t>bombardmint</t>
  </si>
  <si>
    <t>Arma-mint</t>
  </si>
  <si>
    <t>Arma-menta</t>
  </si>
  <si>
    <t>Arremeça uma saraivada de prrjéteis em parábola que atordoam, além de impulsionar temporariamente as plantas da família Arma no campo.</t>
  </si>
  <si>
    <t>Volleys 4 projectiles</t>
  </si>
  <si>
    <t>Atordoa</t>
  </si>
  <si>
    <t>armamint</t>
  </si>
  <si>
    <t>Contain-mint</t>
  </si>
  <si>
    <t>Refrea-menta</t>
  </si>
  <si>
    <t>Atordoa todos os zumbis do campo, além de impulsionar temporariamente as plantas da família Refrea no campo.</t>
  </si>
  <si>
    <t>Stuns 4 seconds</t>
  </si>
  <si>
    <t>containmint</t>
  </si>
  <si>
    <t>Enforce-mint</t>
  </si>
  <si>
    <t>Surra-menta</t>
  </si>
  <si>
    <t>Encolhe os zumbis em área, além de impulsionar temporariamente as plantas da família Surra no campo.</t>
  </si>
  <si>
    <t>Shrunks 10 zombies</t>
  </si>
  <si>
    <t>enforcemint</t>
  </si>
  <si>
    <t>Spear-mint</t>
  </si>
  <si>
    <t>Perfura-menta</t>
  </si>
  <si>
    <t>Gera pedra-espinhos no campo, além de impulsionar temporariamente as plantas da família Perfura no campo.</t>
  </si>
  <si>
    <t>Summons Spikerocks on rigth tiles</t>
  </si>
  <si>
    <t>spearmint</t>
  </si>
  <si>
    <t>Pepper-mint</t>
  </si>
  <si>
    <t>Aqueci-menta</t>
  </si>
  <si>
    <t>Encendeia todas as fileiras, além de impulsionar temporariamente as plantas da família Aquecimenta no campo.</t>
  </si>
  <si>
    <t>peppermint</t>
  </si>
  <si>
    <t>Winter-mint</t>
  </si>
  <si>
    <t>Resfria-menta</t>
  </si>
  <si>
    <t>Resfria todos os zumbis do campo, além de impulsionar temporariamente as plantas da família Resfria no campo.</t>
  </si>
  <si>
    <t>Resfria</t>
  </si>
  <si>
    <t>wintermint</t>
  </si>
  <si>
    <t>Fila-mint</t>
  </si>
  <si>
    <t>Fila-menta</t>
  </si>
  <si>
    <t>Electruca zumbis no campo, além de impulsionar temporariamente as plantas da família Fila no campo.</t>
  </si>
  <si>
    <t>Shots bounce twice</t>
  </si>
  <si>
    <t>filamint</t>
  </si>
  <si>
    <t>Ail-mint</t>
  </si>
  <si>
    <t>Envenena-menta</t>
  </si>
  <si>
    <t>Envenena todos os zumbis, além de impulsionar temporariamente as plantas da família Envenena no campo.</t>
  </si>
  <si>
    <t>Veneno</t>
  </si>
  <si>
    <t>ailmint</t>
  </si>
  <si>
    <t>Enchant-mint</t>
  </si>
  <si>
    <t>Encanta-menta</t>
  </si>
  <si>
    <t>Hipnotiza zumbis aleatórios, além de impulsionar temporariamente as plantas da família Encanta no campo.</t>
  </si>
  <si>
    <t>Hypnotizes 2 zombies</t>
  </si>
  <si>
    <t>enchantmint</t>
  </si>
  <si>
    <t>Conceal-mint</t>
  </si>
  <si>
    <t>Sombra-menta</t>
  </si>
  <si>
    <t>Abduz alguns zumbis, além de impulsionar temporariamente as plantas da família Sombra no campo.</t>
  </si>
  <si>
    <t>Drags 6 zombies</t>
  </si>
  <si>
    <t>concealmint</t>
  </si>
  <si>
    <t>Umbrella Leaf</t>
  </si>
  <si>
    <t>Folha Guarda-chuva</t>
  </si>
  <si>
    <t>Protege de projeteis aereos.</t>
  </si>
  <si>
    <t>No plant effect</t>
  </si>
  <si>
    <t>Origens</t>
  </si>
  <si>
    <t>---</t>
  </si>
  <si>
    <t>PvZ, PvZ Heroes, PvZ 3</t>
  </si>
  <si>
    <t>https://static.wikia.nocookie.net/plantsvszombies/images/1/1d/Umbrella_Leaf3.png/revision/latest/scale-to-width-down/48?cb=20240620034801</t>
  </si>
  <si>
    <t>Marigold</t>
  </si>
  <si>
    <t>Margarida</t>
  </si>
  <si>
    <t>Produz moedas</t>
  </si>
  <si>
    <t>PvZ, PvZ 2, PvZ GW 2, PvZ BfN</t>
  </si>
  <si>
    <t>https://static.wikia.nocookie.net/plantsvszombies/images/7/73/Marigold2.png/revision/latest?cb=20151230034649</t>
  </si>
  <si>
    <t>Gold Magnet</t>
  </si>
  <si>
    <t>Imã Dourado</t>
  </si>
  <si>
    <t>Remove objetos metálicos de zumbis e atrai moedas.</t>
  </si>
  <si>
    <t>Evolução de planta</t>
  </si>
  <si>
    <t>PvZ</t>
  </si>
  <si>
    <t>https://static.wikia.nocookie.net/plantsvszombies/images/1/18/Gold_Magnet1.png/revision/latest?cb=20170630021728</t>
  </si>
  <si>
    <t>Aspearagus</t>
  </si>
  <si>
    <t>Aspargo</t>
  </si>
  <si>
    <t>Dispara de longas distancias</t>
  </si>
  <si>
    <t>Adventure</t>
  </si>
  <si>
    <t>PvZA</t>
  </si>
  <si>
    <t>https://static.wikia.nocookie.net/plantsvszombies/images/6/6a/AspearagusA.png/revision/latest?cb=20130502101541</t>
  </si>
  <si>
    <t>Popcorn</t>
  </si>
  <si>
    <t>Milho</t>
  </si>
  <si>
    <t>Explodes ao contacto, leva um tempo pra carregar</t>
  </si>
  <si>
    <t>https://static.wikia.nocookie.net/plantsvszombies/images/0/02/PopcornA.png/revision/latest?cb=20130809003435</t>
  </si>
  <si>
    <t>Beet</t>
  </si>
  <si>
    <t>Baterraba</t>
  </si>
  <si>
    <t>Headbutts zombies into submission</t>
  </si>
  <si>
    <t>https://static.wikia.nocookie.net/plantsvszombies/images/3/32/BeetA.png/revision/latest?cb=20130510211801</t>
  </si>
  <si>
    <t>Magnet Plant</t>
  </si>
  <si>
    <t>Planta Magnética</t>
  </si>
  <si>
    <t>Grabs metallic objects from zombies</t>
  </si>
  <si>
    <t>https://static.wikia.nocookie.net/plantsvszombies/images/3/35/Magnet_PlantA.png/revision/latest?cb=20130521212819</t>
  </si>
  <si>
    <t>Flaming Pea</t>
  </si>
  <si>
    <t>Ervilha Flamejante</t>
  </si>
  <si>
    <t>Shoots fiery peas which burn so good</t>
  </si>
  <si>
    <t>https://static.wikia.nocookie.net/plantsvszombies/images/3/32/Flaming_PeaA.png/revision/latest?cb=20160403150613</t>
  </si>
  <si>
    <t>Shamrock</t>
  </si>
  <si>
    <t>Trevo</t>
  </si>
  <si>
    <t>Atira a longa distancia, se esconde quando houver oponentes por perto</t>
  </si>
  <si>
    <t>https://static.wikia.nocookie.net/plantsvszombies/images/1/12/ShamrockA.png/revision/latest?cb=20130521213245</t>
  </si>
  <si>
    <t>Bamboo shot</t>
  </si>
  <si>
    <t>Tiro de bambu</t>
  </si>
  <si>
    <t>Dispara projeteis explosivos</t>
  </si>
  <si>
    <t>PvZ GW, PvZ GW 2, PvZA</t>
  </si>
  <si>
    <t>https://static.wikia.nocookie.net/plantsvszombies/images/6/66/Bamboo_ShootA.png/revision/latest?cb=20130524081642</t>
  </si>
  <si>
    <t>Sweet Pea</t>
  </si>
  <si>
    <t>Docervilha</t>
  </si>
  <si>
    <t>Shoots candy at zombies</t>
  </si>
  <si>
    <t>PvZ Heroes, PvZA</t>
  </si>
  <si>
    <t>https://static.wikia.nocookie.net/plantsvszombies/images/1/1e/Sweet_PeaA.png/revision/latest?cb=20130718044149</t>
  </si>
  <si>
    <t>Beeshooter</t>
  </si>
  <si>
    <t>Abelhervilha</t>
  </si>
  <si>
    <t>BUZZZZ. Shoots bees at zombies</t>
  </si>
  <si>
    <t>https://static.wikia.nocookie.net/plantsvszombies/images/0/04/BeeshooterA.png/revision/latest?cb=20130521192003</t>
  </si>
  <si>
    <t>Bamboo shots</t>
  </si>
  <si>
    <t>Bambu Gêmeos</t>
  </si>
  <si>
    <t>Dispara um projétil poderoso com grande intervalo.</t>
  </si>
  <si>
    <t>Attack_zumburbia</t>
  </si>
  <si>
    <t>PvZ 3</t>
  </si>
  <si>
    <t>https://static.wikia.nocookie.net/plantsvszombies/images/8/84/Bamboo_Shoots3.png/revision/latest/scale-to-width-down/48?cb=20220505145717</t>
  </si>
  <si>
    <t>Lychee</t>
  </si>
  <si>
    <t>Lichia</t>
  </si>
  <si>
    <t>Quando é atacado, dispara espinhos que golpeiam em todas as direções.</t>
  </si>
  <si>
    <t>https://static.wikia.nocookie.net/plantsvszombies/images/9/9d/Lychee3.png/revision/latest/scale-to-width-down/48?cb=20241119002150</t>
  </si>
  <si>
    <t>SilverSword</t>
  </si>
  <si>
    <t>Lamina Prateada</t>
  </si>
  <si>
    <t>Golpeia os zumbis próximos com golpes giratórios.</t>
  </si>
  <si>
    <t>https://static.wikia.nocookie.net/plantsvszombies/images/7/7e/Silversword3.png/revision/latest/scale-to-width-down/48?cb=20220406055054</t>
  </si>
  <si>
    <t>Resistant Radish</t>
  </si>
  <si>
    <t>Rabanete Resistente</t>
  </si>
  <si>
    <t>Protege e não pode ser movido.</t>
  </si>
  <si>
    <t>Resistant Radish immediately places another Resistant Radish on an empty tile on the lawn, prioritizing rows with no Resistant Radishes.</t>
  </si>
  <si>
    <t>Chinese Natural</t>
  </si>
  <si>
    <t>turnip</t>
  </si>
  <si>
    <t>PvZ 2 Chinease</t>
  </si>
  <si>
    <t>https://static.wikia.nocookie.net/plantsvszombies/images/7/72/Resistant_Radish2.png/revision/latest?cb=20150805183002</t>
  </si>
  <si>
    <t>Fire Gourd</t>
  </si>
  <si>
    <t>Cabaça de Fogo</t>
  </si>
  <si>
    <t>Lança chamas em uma distancia curta, depois precisa dormir para recarregar.</t>
  </si>
  <si>
    <t>Fire Gourd breathes a high-damage flame at the lane, rests afterwards.</t>
  </si>
  <si>
    <t>Special - The longer time charged, the stronger the fire is, anti-weapon stands</t>
  </si>
  <si>
    <t>manual, area-effect</t>
  </si>
  <si>
    <t>firegourd</t>
  </si>
  <si>
    <t>https://static.wikia.nocookie.net/plantsvszombies/images/6/6e/Fire_Gourd2.png/revision/latest?cb=20230918030431</t>
  </si>
  <si>
    <t>Heavenly Peach</t>
  </si>
  <si>
    <t>Pêssego celestial</t>
  </si>
  <si>
    <t>Cura outras plantas ao redor</t>
  </si>
  <si>
    <t>Blesses plants in a 3×3 area, making them invincible for 5 seconds.</t>
  </si>
  <si>
    <t>effect in 3x3 area</t>
  </si>
  <si>
    <t>peach</t>
  </si>
  <si>
    <t>https://static.wikia.nocookie.net/plantsvszombies/images/5/54/Heavenly_Peach2.png/revision/latest?cb=20230402051504</t>
  </si>
  <si>
    <t>Bamboo Shoot</t>
  </si>
  <si>
    <t>Ataca zumbis em até 4 colunas a frente</t>
  </si>
  <si>
    <t>Bamboo Shoot digs into the ground, attacking by spiking out massive bamboo shoots under 4 zombies.</t>
  </si>
  <si>
    <t>bamboo</t>
  </si>
  <si>
    <t>https://static.wikia.nocookie.net/plantsvszombies/images/2/2c/Bamboo_Shoot2.png/revision/latest?cb=20230331050619</t>
  </si>
  <si>
    <t>Oak Archer</t>
  </si>
  <si>
    <t>Carvalho Arqueiro</t>
  </si>
  <si>
    <t>Dispara flechas contra os zumbis, tem que recarregar após o tiro.</t>
  </si>
  <si>
    <t>Rains arrows down on all zombies on screen</t>
  </si>
  <si>
    <t>https://static.wikia.nocookie.net/plantsvszombies/images/6/69/Oak_Archer2.png/revision/latest?cb=20150322200617</t>
  </si>
  <si>
    <t>Coffee Bean</t>
  </si>
  <si>
    <t>Grão de Café</t>
  </si>
  <si>
    <t>Desperta plantas adormecidas e fortalece seus ataques momentaneamente.</t>
  </si>
  <si>
    <t>PvZ, PvZ 2 Chinease</t>
  </si>
  <si>
    <t>https://static.wikia.nocookie.net/plantsvszombies/images/e/e7/Coffee_Bean2.png/revision/latest?cb=20150322201447</t>
  </si>
  <si>
    <t>Plantern</t>
  </si>
  <si>
    <t>Planterna</t>
  </si>
  <si>
    <t>Ilumina o ambiente e revela alvos ocultos</t>
  </si>
  <si>
    <t>Plantern uses all the effort to illuminate, dispersing all darkness fog on the lawn for 30 seconds.</t>
  </si>
  <si>
    <t>PvZ, PvZ 2 Chinease, PvZ Heroes</t>
  </si>
  <si>
    <t>https://static.wikia.nocookie.net/plantsvszombies/images/c/c6/Plantern2.png/revision/latest?cb=20150714005549</t>
  </si>
  <si>
    <t>Acid Lemon</t>
  </si>
  <si>
    <t>Limonácido</t>
  </si>
  <si>
    <t>Dispara limonada que derrete armaduras e causam mais danos a elas.</t>
  </si>
  <si>
    <t>Acidic Lemon shoots acid rain, damaging all zombies on the lawn.</t>
  </si>
  <si>
    <t>lemon</t>
  </si>
  <si>
    <t>https://static.wikia.nocookie.net/plantsvszombies/images/e/e9/Acid_Lemon2.png/revision/latest?cb=20150805184227</t>
  </si>
  <si>
    <t>Lotus Pod</t>
  </si>
  <si>
    <t>Broto Lótus</t>
  </si>
  <si>
    <t>Dispara sementes de dano em terra e mísseis explosivos em água.</t>
  </si>
  <si>
    <t>On land, Lotus Pod fires a missile that damages zombies in a 2×1 area. In water, fires a torpedo that damages all zombies in the lane, creating an explosion with a range of 2×1 at the end of the lane.</t>
  </si>
  <si>
    <t>lotusshower</t>
  </si>
  <si>
    <t>https://static.wikia.nocookie.net/plantsvszombies/images/5/57/Lotus_Pod2.png/revision/latest?cb=20150517073958</t>
  </si>
  <si>
    <t>Rafflesia</t>
  </si>
  <si>
    <t>Raflésia</t>
  </si>
  <si>
    <t>Produz uma bomba de esporos que causa dano explosivo.</t>
  </si>
  <si>
    <t>Rafflesia simultaneously fires 5 bubbles with 8 times the original damage, attacking random zombies on the lawn.</t>
  </si>
  <si>
    <t>Special - Attacks zombies at the rear</t>
  </si>
  <si>
    <t>rafflesia</t>
  </si>
  <si>
    <t>https://static.wikia.nocookie.net/plantsvszombies/images/2/2a/Rafflesia2.png/revision/latest?cb=20151031192058</t>
  </si>
  <si>
    <t>Whirlwind Acorn</t>
  </si>
  <si>
    <t>Bolota tornado</t>
  </si>
  <si>
    <t>Lança sua boina acertando todos os zumbis duas vezes.</t>
  </si>
  <si>
    <t>Makes a whirlwind, damaging zombies and destroying obstacles in the lane.</t>
  </si>
  <si>
    <t>area-effect, tornado</t>
  </si>
  <si>
    <t>acorn</t>
  </si>
  <si>
    <t>https://static.wikia.nocookie.net/plantsvszombies/images/2/20/Whirlwind_Acorn2.png/revision/latest?cb=20160818132726</t>
  </si>
  <si>
    <t>Loquat</t>
  </si>
  <si>
    <t>Nêspera</t>
  </si>
  <si>
    <t>Cria um vortex que puxa os zumbis em uma área 3x3.</t>
  </si>
  <si>
    <t>Special - Generates a whirlwind to pull zombies, can pull down zombies in the sky.</t>
  </si>
  <si>
    <t>flying, tornado</t>
  </si>
  <si>
    <t>doublesamara</t>
  </si>
  <si>
    <t>https://static.wikia.nocookie.net/plantsvszombies/images/9/98/Loquat2.png/revision/latest?cb=20221226045117</t>
  </si>
  <si>
    <t>Asparagus</t>
  </si>
  <si>
    <t>Ataca zumbis também nas colunas adjacentes</t>
  </si>
  <si>
    <t>Asparagus wears a helmet and fires at, one after another, three rows of zombies.</t>
  </si>
  <si>
    <t>Special - Able to attack targets ahead and on nearby rows</t>
  </si>
  <si>
    <t>https://static.wikia.nocookie.net/plantsvszombies/images/c/cf/Asparagus2.png/revision/latest?cb=20221225063419</t>
  </si>
  <si>
    <t>Saucer</t>
  </si>
  <si>
    <t>Patypan</t>
  </si>
  <si>
    <t>Cria uma luz que imobiliza os zumbis abaixo dela temporariamente.</t>
  </si>
  <si>
    <t>Saucer unleashes light rays to stun all zombies on the lawn for 10 seconds.</t>
  </si>
  <si>
    <t>https://static.wikia.nocookie.net/plantsvszombies/images/f/f3/Saucer2.png/revision/latest?cb=20221226045102</t>
  </si>
  <si>
    <t>Horsebean</t>
  </si>
  <si>
    <t>Fava</t>
  </si>
  <si>
    <t>Ataca zumbis.</t>
  </si>
  <si>
    <t>Fava teammate number is temporarily increased to 6, range is temporarily full-screen, resting time is temporarily shortend to 10 seconds, lasting 60 seconds.</t>
  </si>
  <si>
    <t>Special - Horsebean fighters attack nearby zombies</t>
  </si>
  <si>
    <t>https://static.wikia.nocookie.net/plantsvszombies/images/6/63/Horsebean2.png/revision/latest?cb=20221226045045</t>
  </si>
  <si>
    <t>Groundcherry</t>
  </si>
  <si>
    <t>Camapu</t>
  </si>
  <si>
    <t>Faz os zumbis invisiveis, visiveis.</t>
  </si>
  <si>
    <t>Immediately reveals all invisible units.</t>
  </si>
  <si>
    <t>Special - Limited lifespan, invulnerable</t>
  </si>
  <si>
    <t>flying, area-effect</t>
  </si>
  <si>
    <t>https://static.wikia.nocookie.net/plantsvszombies/images/2/2e/Groundcherry2.png/revision/latest?cb=20221226045026</t>
  </si>
  <si>
    <t>Anthurium</t>
  </si>
  <si>
    <t>Antúrio</t>
  </si>
  <si>
    <t>Absorve raios e remove cargas de plantas em área, e ataca os zumbis.</t>
  </si>
  <si>
    <t>Absorbs all electric charges on the lawn, randomly damages three units.</t>
  </si>
  <si>
    <t>Special - Absorbs lightning from surrounding plants</t>
  </si>
  <si>
    <t>https://static.wikia.nocookie.net/plantsvszombies/images/3/3f/Anthurium2.png/revision/latest?cb=20221226044948</t>
  </si>
  <si>
    <t>Pineapple</t>
  </si>
  <si>
    <t>Ananas</t>
  </si>
  <si>
    <t>Impede zumbis e afasta balas girando seu corpo.</t>
  </si>
  <si>
    <t>Pineapple starts spinning at high speed, reflecting projectiles for 4 seconds.</t>
  </si>
  <si>
    <t>Special - His spin can reflect bullets</t>
  </si>
  <si>
    <t>https://static.wikia.nocookie.net/plantsvszombies/images/f/f7/Pineapple2.png/revision/latest?cb=20221226013615</t>
  </si>
  <si>
    <t>Jackfruit</t>
  </si>
  <si>
    <t>Jaca</t>
  </si>
  <si>
    <t>Rola para frente, enquanto rola, também é capaz de cobrir passagens abertas.</t>
  </si>
  <si>
    <t>Special - 
Bonus damage to zombies with protective headgear</t>
  </si>
  <si>
    <t>jackfruit</t>
  </si>
  <si>
    <t>https://static.wikia.nocookie.net/plantsvszombies/images/c/c1/Jackfruit2.png/revision/latest?cb=20160122031402</t>
  </si>
  <si>
    <t>Morning Glory</t>
  </si>
  <si>
    <t>Glória da manhã</t>
  </si>
  <si>
    <t>Ataca com poderosas ondas sonoras.</t>
  </si>
  <si>
    <t>Launches a single-tile large sound barrier, pushing zombies to three tiles to the right of Morning Glory, dealing damage for 6 seconds.</t>
  </si>
  <si>
    <t>Special - Reflects zombies' sound projectiles, after it levels up, Morning Glories will combine their power to increase their attack.</t>
  </si>
  <si>
    <t>orchestra</t>
  </si>
  <si>
    <t>morningglory</t>
  </si>
  <si>
    <t>PvZ 2 Chinease, PvZ Heroes</t>
  </si>
  <si>
    <t>https://static.wikia.nocookie.net/plantsvszombies/images/2/2d/Morning_Glory2.png/revision/latest?cb=20221226051932</t>
  </si>
  <si>
    <t>Primal Rafflesia</t>
  </si>
  <si>
    <t>Raflésia Primitiva</t>
  </si>
  <si>
    <t>Lança bolas de veneno que desaceleram zumbis.</t>
  </si>
  <si>
    <t>Fires venom at at most 5 units towards the right, the goops' damage is 4 times the original, dealing splash damage in a 2×1 area.</t>
  </si>
  <si>
    <t>Special - When attacking zombies, leaves a puddle of venom that causes slowing effect</t>
  </si>
  <si>
    <t>primal, poison, slowing</t>
  </si>
  <si>
    <t>primalrafflesia</t>
  </si>
  <si>
    <t>https://static.wikia.nocookie.net/plantsvszombies/images/a/ad/Primal_Rafflesia2.png/revision/latest?cb=20221220085823</t>
  </si>
  <si>
    <t>Dino-roar Grass</t>
  </si>
  <si>
    <t>Erva Dino-urro</t>
  </si>
  <si>
    <t>Devora zumbis e cospe ovos indigestidos.</t>
  </si>
  <si>
    <t>Dino-Roar Grass roars to expel dinosaurs from Dinosaur Stampedes caused by T. Rexes, and randomly swallows 3 nearby devourable zombies.</t>
  </si>
  <si>
    <t>Attack rests 20 seconds</t>
  </si>
  <si>
    <t>Special - Eats delicious zombies, spits out awfully-tasting dinosaur eggs</t>
  </si>
  <si>
    <t>dragon, poison, chomper</t>
  </si>
  <si>
    <t>dragonroar</t>
  </si>
  <si>
    <t>https://static.wikia.nocookie.net/plantsvszombies/images/a/ad/Dino-Roar_Grass2.png/revision/latest?cb=20190705052324</t>
  </si>
  <si>
    <t>Timid Throns</t>
  </si>
  <si>
    <t>Espinhos Tímidos</t>
  </si>
  <si>
    <t>Previne ataque de dinossauros</t>
  </si>
  <si>
    <t>Special - Prevents Brontosaurus stomps</t>
  </si>
  <si>
    <t>https://static.wikia.nocookie.net/plantsvszombies/images/d/d4/Timid_Thorns2.png/revision/latest?cb=20221215222719</t>
  </si>
  <si>
    <t>Sugarcane Master</t>
  </si>
  <si>
    <t>Mestre cana de açúcar</t>
  </si>
  <si>
    <t>Usa nunchaku para atacar.</t>
  </si>
  <si>
    <t>Throws many spinning nunchakus, dealing damage in a 3×3 area ahead.</t>
  </si>
  <si>
    <t>Attacks multiple zombies with nunchaku</t>
  </si>
  <si>
    <t>dragoncane</t>
  </si>
  <si>
    <t>https://static.wikia.nocookie.net/plantsvszombies/images/2/22/Sugarcane_Master2.png/revision/latest?cb=20221220085223</t>
  </si>
  <si>
    <t>Flat-shroom</t>
  </si>
  <si>
    <t>Tampagumelo</t>
  </si>
  <si>
    <t>Faz buracos pararem de expelir gases tóxicos.</t>
  </si>
  <si>
    <t>Immediately splits at most 2 Flat-shrooms onto uncovered sewers.</t>
  </si>
  <si>
    <t>Can only be planted on the sewer without a manhole cover</t>
  </si>
  <si>
    <t>Special - Blocks a sewer hole</t>
  </si>
  <si>
    <t>flattenedshroom</t>
  </si>
  <si>
    <t>https://static.wikia.nocookie.net/plantsvszombies/images/d/dd/Flat-shroom2.png/revision/latest?cb=20180825114906</t>
  </si>
  <si>
    <t>Lotus Shooter</t>
  </si>
  <si>
    <t>Dispara Lótus</t>
  </si>
  <si>
    <t>Pode absorver gás tóxico para atacar com mais potência.</t>
  </si>
  <si>
    <t>Lotus Shooter quickly absorbs water stream and fires 60 water arrows, spilling onto zombies to the right.</t>
  </si>
  <si>
    <t>lotusshooter</t>
  </si>
  <si>
    <t>https://static.wikia.nocookie.net/plantsvszombies/images/7/72/Lotus_Shooter2.png/revision/latest?cb=20230909021319</t>
  </si>
  <si>
    <t>Maypop Mechanic</t>
  </si>
  <si>
    <t>Passiflora Mecânica</t>
  </si>
  <si>
    <t>Ataca o zumbi mais próximo em sua fileira ou nas adjacentes, disparando engrenagens.</t>
  </si>
  <si>
    <t>Maypop Mechanic spits out a giant gear, launching it towards the right, it stops to continuously damage zombies in a 3×3 area after hitting a zombie.</t>
  </si>
  <si>
    <t>passionflower</t>
  </si>
  <si>
    <t>https://static.wikia.nocookie.net/plantsvszombies/images/7/76/Maypop_Mechanic2.png/revision/latest?cb=20190319131928</t>
  </si>
  <si>
    <t>Fanilla</t>
  </si>
  <si>
    <t>Baunilha</t>
  </si>
  <si>
    <t>Pode assoprar zumbis com guarda chuva.</t>
  </si>
  <si>
    <t>Wind-Blowing Vanilla creates a giant tornado, blowing away small zombies and damaging the rest. Tornado disappears after blowing away 5 zombies.</t>
  </si>
  <si>
    <t>vanilla</t>
  </si>
  <si>
    <t>https://static.wikia.nocookie.net/plantsvszombies/images/6/6e/Wind-Blowing_Vanilla2.png/revision/latest?cb=20180825120100</t>
  </si>
  <si>
    <t>Mulberry Blaster</t>
  </si>
  <si>
    <t>Bomba Amora</t>
  </si>
  <si>
    <t>Lança uma amora que causa uma pequena explosão</t>
  </si>
  <si>
    <t>Mulberry Blaster summons multiple grenades at once, consecutively lobbing 6 grenades at zombies across the lawn, dealing explosion damage.</t>
  </si>
  <si>
    <t>Special - It launches berries to damage zombies in a tile.</t>
  </si>
  <si>
    <t>https://static.wikia.nocookie.net/plantsvszombies/images/a/ad/Convallaria_Pharmacist2.png/revision/latest?cb=20190217205325</t>
  </si>
  <si>
    <t>Lily of Alchemy</t>
  </si>
  <si>
    <t>Lírio Alquímico</t>
  </si>
  <si>
    <t>Lança flores envenenadas, que podem aumentar o grau de envenenamento, dando mais dano com o tempo.</t>
  </si>
  <si>
    <t>Convallaria Pharmacist puffs up, quickly and consecutively lobs 5 poisons towards zombies across the entire lawn, damaging zombies and adding 1 layer of poison.</t>
  </si>
  <si>
    <t>Special - Causes damage to zombies by stackable poison effect.</t>
  </si>
  <si>
    <t>https://static.wikia.nocookie.net/plantsvszombies/images/a/a5/Mulberry_Blaster2.png/revision/latest?cb=20190321155348</t>
  </si>
  <si>
    <t>Rose Swordfighter</t>
  </si>
  <si>
    <t>Rosa Esgrimista</t>
  </si>
  <si>
    <t>Ataca zumbis que se aproximam, e disfere um golpe poderosissimo quando a vida deles estiverm baixa.</t>
  </si>
  <si>
    <t>Rose Swordfighter uses proficient swordfighting skills to continuously stab zombies in a 3×3 area to the right, dealing damage.</t>
  </si>
  <si>
    <t>Special - Strong attacks on zombies with low hitpoints</t>
  </si>
  <si>
    <t>Chinese Sementium</t>
  </si>
  <si>
    <t>https://static.wikia.nocookie.net/plantsvszombies/images/d/db/Rose_Swordfighter2.png/revision/latest?cb=20200803061104</t>
  </si>
  <si>
    <t>Bearberry Mortar</t>
  </si>
  <si>
    <t>Uva Ursi Morteira</t>
  </si>
  <si>
    <t>Lança uma uva rolante que ataca todos os zumbis na coluna.</t>
  </si>
  <si>
    <t>Bearberry Mortar consecutively fires 3 kinnickinnick bombs, rolling to the right, upper right and lower right, knocking away small-to-medium sized zombies whilst damaging the rest.</t>
  </si>
  <si>
    <t>https://static.wikia.nocookie.net/plantsvszombies/images/5/52/Bearberry_Mortar2.png/revision/latest?cb=20190926013605</t>
  </si>
  <si>
    <t>Wax Gourd Guard</t>
  </si>
  <si>
    <t>Cabaça de Cera Guardiã</t>
  </si>
  <si>
    <t>Ocasionalmente pula afastando os zumbis.</t>
  </si>
  <si>
    <t>Wax Gourd Guard consecutively jumps 3 times, the first time knocking the zombies one tile to the right upwards, the second time knocking zombies in a 3×3 area upwards, the third time knocking back zombies in a 3×3 area.</t>
  </si>
  <si>
    <t>https://static.wikia.nocookie.net/plantsvszombies/images/c/c9/Wax_Gourd_Guard2.png/revision/latest?cb=20190926013735</t>
  </si>
  <si>
    <t>Oily Olive</t>
  </si>
  <si>
    <t>Azeitona Oleosa</t>
  </si>
  <si>
    <t>Pode cuspir em zumbis, seu oleo pode ser inflamado por ataques de fogo de plantas aliadas.</t>
  </si>
  <si>
    <t>OLIVE</t>
  </si>
  <si>
    <t>https://static.wikia.nocookie.net/plantsvszombies/images/2/2e/Oily_Olive2.png/revision/latest?cb=20191214184514</t>
  </si>
  <si>
    <t>Jeweler Pomegranate</t>
  </si>
  <si>
    <t>Romã Joalheiro</t>
  </si>
  <si>
    <t>Atira rubis que recocheteiam depois de acertar um zumbi.</t>
  </si>
  <si>
    <t>Jeweler Pomegranate consecutively fires 4 gems and 1 big gem. The big gem deals more damage and stuns, instantly defeating at most 2 small-to-medium sized zombies.</t>
  </si>
  <si>
    <t>https://static.wikia.nocookie.net/plantsvszombies/images/e/ee/Jeweler_Pomegranate2.png/revision/latest?cb=20191215184623</t>
  </si>
  <si>
    <t>Dripping Diphylleia</t>
  </si>
  <si>
    <t>Difiléia Gotejante</t>
  </si>
  <si>
    <t>Apaga fogo das plantas, e diminui a velocidade de zumbis próximos.</t>
  </si>
  <si>
    <t>Dripping Diphylleia quickly spins to store a large amount of water and splashes them all at once, covering a 5×5 area in water.</t>
  </si>
  <si>
    <t>debuff, slowing, area-effect, immortal</t>
  </si>
  <si>
    <t>https://static.wikia.nocookie.net/plantsvszombies/images/6/6b/Dripping_Diphylleia2.png/revision/latest?cb=20210125075450</t>
  </si>
  <si>
    <t>Dendrobium Windbreak</t>
  </si>
  <si>
    <t>Orquidea Parabrisas</t>
  </si>
  <si>
    <t>Conecta com outros para barrar ventos fortes.</t>
  </si>
  <si>
    <t>Dendrobium Windbreak spins quickly, immediately knocking back all zombies back to the right for 1 tile and recovering all leaves and health. Neighbouring Dendrobium Windbreaks from other lanes will also spins quickly and knock back zombies.</t>
  </si>
  <si>
    <t>https://static.wikia.nocookie.net/plantsvszombies/images/f/fd/Dendrobium_Windbreak2.png/revision/latest?cb=20210207112655</t>
  </si>
  <si>
    <t>Stephania</t>
  </si>
  <si>
    <t>Se protege contra ninjimps, escudos arremessados são fragmentados.</t>
  </si>
  <si>
    <t>Stephania charges and consecutively fires 6 glowing shields, damaging and knocking back zombies for 1 tile.</t>
  </si>
  <si>
    <t>https://static.wikia.nocookie.net/plantsvszombies/images/d/da/Stephania2.png/revision/latest?cb=20210207105812</t>
  </si>
  <si>
    <t>Tupistra Stalker</t>
  </si>
  <si>
    <t>Tupistra Sorrateira</t>
  </si>
  <si>
    <t>Golpeia o chão atacando os zumbis adjacentes.</t>
  </si>
  <si>
    <t>Tupistra Stalker immediately leviates and starts spinning, firing 3 rounds of darts at a 3×3 area, hides afterwards.</t>
  </si>
  <si>
    <t>https://static.wikia.nocookie.net/plantsvszombies/images/d/d6/Tupistra_Stalker2.png/revision/latest?cb=20210207112128</t>
  </si>
  <si>
    <t>Chef Cypripedium‎‎</t>
  </si>
  <si>
    <t>Chef Orquídea</t>
  </si>
  <si>
    <t>Ensopa zumbis, fazendo que eles troquem de rota.</t>
  </si>
  <si>
    <t>Chef Cypripedium squeezes the pot, lobbing a large glob of soup towards the closest zombie in the lane to the right, damaging all zombies in a 5×5 area and giving them bad scent.</t>
  </si>
  <si>
    <t>debuff</t>
  </si>
  <si>
    <t>https://static.wikia.nocookie.net/plantsvszombies/images/6/63/Chef_Cypripedium2.png/revision/latest?cb=20210207112340</t>
  </si>
  <si>
    <t>Boophone Geigi</t>
  </si>
  <si>
    <t>Geixa Boophone</t>
  </si>
  <si>
    <t>Um leque de flores que retorna pode causar danos a zumbis dentro do seu alcance de ataque</t>
  </si>
  <si>
    <t>Boophone Geigi lights on fire, throwing 1 burning large fan flower to the right, after hitting a zombie, damages all zombies in a 3×3 area and splits into 2 flower fans returning in an arc from neighbouring lanes.</t>
  </si>
  <si>
    <t>Can not only attack zombies down its current row, but also damages zombies in other rows when its fan flies back.</t>
  </si>
  <si>
    <t>https://static.wikia.nocookie.net/plantsvszombies/images/a/ae/Boophone_Geigi2.png/revision/latest?cb=20210413014707</t>
  </si>
  <si>
    <t>Hat Mushroom</t>
  </si>
  <si>
    <t>Chapéu-gumelo</t>
  </si>
  <si>
    <t>joga o chapéu de sua cabeça para atacar os zumbis à sua frente.</t>
  </si>
  <si>
    <t>Hat Mushroom will quickly throw 5 hats towards 5 closest zombies on the right, hats will bounce between zombies, each bounce dealing 3 times the original damage. Each hat can bounce at most 2 times and destroy the shield of the first target.</t>
  </si>
  <si>
    <t>Range all row ahead</t>
  </si>
  <si>
    <t>Special - Hat Mushroom throws the hat on its head to attack the zombies in front of it.</t>
  </si>
  <si>
    <t>https://static.wikia.nocookie.net/plantsvszombies/images/1/18/Hat_Mushroom2.png/revision/latest?cb=20220729021042</t>
  </si>
  <si>
    <t>Ents</t>
  </si>
  <si>
    <t>Pode regenerar a própria vida.</t>
  </si>
  <si>
    <t>Ents will attack all zombies in front of it in an 3x3 area, bouncing zombies in the air at the end, stunning them, and also break the Magic Shields.</t>
  </si>
  <si>
    <t>Attack range 2 tiles ahead</t>
  </si>
  <si>
    <t>Special - Restores own health when given room to breathe</t>
  </si>
  <si>
    <t>https://static.wikia.nocookie.net/plantsvszombies/images/7/7a/Ents2.png/revision/latest?cb=20220729021122</t>
  </si>
  <si>
    <t>Princess Spring Grass</t>
  </si>
  <si>
    <t>Princesa Grama da primavera</t>
  </si>
  <si>
    <t>Ataca zumbis e os afastam.</t>
  </si>
  <si>
    <t>Princess Spring Grass fires one spring for each zombie on the lawn. Spring knocks back a zombie for 1 tile, dealing damage.</t>
  </si>
  <si>
    <t>Attack range 3 rows ahead</t>
  </si>
  <si>
    <t>Special - Shoots springs at zombies to bounce them back.</t>
  </si>
  <si>
    <t>https://static.wikia.nocookie.net/plantsvszombies/images/8/85/Princess_Spring_Grass2.png/revision/latest?cb=20220729021016</t>
  </si>
  <si>
    <t>Bamboo Trooper</t>
  </si>
  <si>
    <t>Tropa Bambu</t>
  </si>
  <si>
    <t>Dispara uma broca que desacelera zumbis e perfura eles.</t>
  </si>
  <si>
    <t>Bamboo Trooper immediately fires 1 gigantic drill projectile towards three rows to the right, slowing and damaging zombies they pass through, dealing high single-tile damage upon exploding.</t>
  </si>
  <si>
    <t>Attack range 1 row ahead</t>
  </si>
  <si>
    <t>Special - 
Fires a bullet that penetrates forward, slowing penetrated zombies.</t>
  </si>
  <si>
    <t>area-effect, slowing, explosive</t>
  </si>
  <si>
    <t>https://static.wikia.nocookie.net/plantsvszombies/images/1/17/Bamboo_Trooper2.png/revision/latest?cb=20220728220644</t>
  </si>
  <si>
    <t>Pyro-shroom</t>
  </si>
  <si>
    <t>Pirogumelo</t>
  </si>
  <si>
    <t>Grows with the release of his increasingly powerful magic attack in front of the zombies.</t>
  </si>
  <si>
    <t>Immediately grows to the third stage, creates a wall of fire, blocking and damaging zombies for 7 seconds.</t>
  </si>
  <si>
    <t>Special - Grows with the release of his increasingly powerful magic attack in front of the zombies.</t>
  </si>
  <si>
    <t>https://static.wikia.nocookie.net/plantsvszombies/images/a/a1/Pyro-shroom2.png/revision/latest?cb=20230226070859</t>
  </si>
  <si>
    <t>Cryo-shroom</t>
  </si>
  <si>
    <t>Criogumelo</t>
  </si>
  <si>
    <t>Immediately grows to the third stage, creating two ice sinkholes that lasts for 7 seconds with area of 3×3, making small-sized terrestrial zombies fall into them.</t>
  </si>
  <si>
    <t>control, slowing, chilling, chain_attack</t>
  </si>
  <si>
    <t>https://static.wikia.nocookie.net/plantsvszombies/images/5/51/Cryo-shroom2.png/revision/latest?cb=20230226070920</t>
  </si>
  <si>
    <t>Carrotillery</t>
  </si>
  <si>
    <t>Cenourartilharia</t>
  </si>
  <si>
    <t>Shoots carrot missiles, dealing huge damage to zombies.</t>
  </si>
  <si>
    <t>Becomes a cannon and fires a missile with 20000 points of health towards the closest zombies at the right. When the missile is eaten, damages zombies in a 3×3 area. If there are plants on the tile, it will immediately explode.</t>
  </si>
  <si>
    <t>Spacial - Splash in 1x1 area</t>
  </si>
  <si>
    <t>https://static.wikia.nocookie.net/plantsvszombies/images/e/e1/Carrotillery2.png/revision/latest?cb=20190321155305</t>
  </si>
  <si>
    <t>Strong Broccoli</t>
  </si>
  <si>
    <t>Brócule forte</t>
  </si>
  <si>
    <t>Strong Broccoli waves zombies attacking in the front and rear.</t>
  </si>
  <si>
    <t>Pulls a faraway zombie, damage zombies in a 3×3 area, then throws said zombie off the lawn.</t>
  </si>
  <si>
    <t>Attack range 1 tile ahead</t>
  </si>
  <si>
    <t>https://static.wikia.nocookie.net/plantsvszombies/images/4/47/Strong_Broccoli2.png/revision/latest?cb=20240605051128</t>
  </si>
  <si>
    <t>Machine Gun Pomegranate</t>
  </si>
  <si>
    <t>Romãtralhadora</t>
  </si>
  <si>
    <t>Fires the front range of zombies.</t>
  </si>
  <si>
    <t>Fires projectiles at a sector region (around 3×4) ahead.</t>
  </si>
  <si>
    <t>Attack range 2x3 in right</t>
  </si>
  <si>
    <t>https://static.wikia.nocookie.net/plantsvszombies/images/d/d1/Machine_Gun_Pomegranate2.png/revision/latest?cb=20190714181437</t>
  </si>
  <si>
    <t>Landlord Bamboo</t>
  </si>
  <si>
    <t>Bambu senhorio</t>
  </si>
  <si>
    <t>Explodes, causing damage to the approaching zombies.</t>
  </si>
  <si>
    <t>Landlord Bamboo places a row of firecrackers to the right, damaging all zombies on the row.</t>
  </si>
  <si>
    <t>https://static.wikia.nocookie.net/plantsvszombies/images/3/3f/Landlord_Bamboo2.png/revision/latest?cb=20160818132722</t>
  </si>
  <si>
    <t>Chestnut Squad</t>
  </si>
  <si>
    <t>Esquadrão Castanha</t>
  </si>
  <si>
    <t>Summons chestnuts that attack zombies in a certain area.</t>
  </si>
  <si>
    <t>Chestnut Squad unleashes small chestnuts, charging at zombies, dealing damage.</t>
  </si>
  <si>
    <t>Special - Summons groups of chestnuts</t>
  </si>
  <si>
    <t>https://static.wikia.nocookie.net/plantsvszombies/images/f/fa/Chestnut_Squad2.png/revision/latest?cb=20170210131218</t>
  </si>
  <si>
    <t>Bamboo Bro</t>
  </si>
  <si>
    <t>Bambrother</t>
  </si>
  <si>
    <t>Defends and holds zombies back.</t>
  </si>
  <si>
    <t>Knocks back zombies a tile ahead, stunning them for 5 seconds.</t>
  </si>
  <si>
    <t>Special - If there are fewer zombies, he can longer to adhere to the time.
Special - When he’s not attacked, he will gradually heal itself.</t>
  </si>
  <si>
    <t>https://static.wikia.nocookie.net/plantsvszombies/images/c/c8/Bamboo_Bro2.png/revision/latest?cb=20210513062720</t>
  </si>
  <si>
    <t>Magic-shroom</t>
  </si>
  <si>
    <t>Magicogumelo</t>
  </si>
  <si>
    <t>Throws playing cards back and forth at zombies.</t>
  </si>
  <si>
    <t>Summon one zombie on each row for a total of 5. Magic-shroom may summon Basic, Conehead, Buckethead Zombies or Gargantuars. Their tiers align with those of the level.</t>
  </si>
  <si>
    <t>Special - It attacks zombies at front and back</t>
  </si>
  <si>
    <t>attack_backwards, summon</t>
  </si>
  <si>
    <t>https://static.wikia.nocookie.net/plantsvszombies/images/0/0f/Magic-shroom2.png/revision/latest?cb=20190714144506</t>
  </si>
  <si>
    <t>Mischief Radish</t>
  </si>
  <si>
    <t>Rabanete travesso</t>
  </si>
  <si>
    <t>Fires three different type of missiles and each does different damage.</t>
  </si>
  <si>
    <t>Mischief Radish launches a gigantic missile, damaging zombies ahead. Said missile will travel to the end of the row.</t>
  </si>
  <si>
    <t>greenturnip</t>
  </si>
  <si>
    <t>https://static.wikia.nocookie.net/plantsvszombies/images/e/e5/Mischief_Radish2.png/revision/latest?cb=20230111005136</t>
  </si>
  <si>
    <t>Pumpkin Witch</t>
  </si>
  <si>
    <t>Abóbruxa</t>
  </si>
  <si>
    <t>Throws pumpkins, that controls a normal zombie, when the pumpkin exists to fight for you.</t>
  </si>
  <si>
    <t>Lobs at most 5 pumpkins that are 130% stronger than normal pumpkins to control 5 leftmost controllable zombies. Pumpkin Witch then rests for 14 seconds. Golems to not respawn when defeated.</t>
  </si>
  <si>
    <t>https://static.wikia.nocookie.net/plantsvszombies/images/b/b0/Pumpkin_Witch2.png/revision/latest?cb=20220307174545</t>
  </si>
  <si>
    <t>Sunflower Singer</t>
  </si>
  <si>
    <t>Girrassol Cantora</t>
  </si>
  <si>
    <t>Sings sun and encourages plants increasing their attack power and shortens the cooldown period.</t>
  </si>
  <si>
    <t>Sunflower Singer begins his performance. When the lighting appears, produces 280 sun and all plants and zombies are paused for 5 seconds.</t>
  </si>
  <si>
    <t>boost adjacent allies</t>
  </si>
  <si>
    <t>orchestra, boost, area-effect</t>
  </si>
  <si>
    <t>https://static.wikia.nocookie.net/plantsvszombies/images/6/6c/Sunflower_Singer2.png/revision/latest?cb=20221208003802</t>
  </si>
  <si>
    <t>Snow Cotton</t>
  </si>
  <si>
    <t>Algodão nevado</t>
  </si>
  <si>
    <t>Treads on the attacking zombies ahead.</t>
  </si>
  <si>
    <t>Throws its nose to summon a giant snowman that deals damage in a 3×3 radius centered on the leftmost zombie in front of it and freezes for 3 seconds.</t>
  </si>
  <si>
    <t>slowing, chilling, freezing, area-effect</t>
  </si>
  <si>
    <t>https://static.wikia.nocookie.net/plantsvszombies/images/5/57/Snow_Cotton2.png/revision/latest?cb=20210905073138</t>
  </si>
  <si>
    <t>Agave</t>
  </si>
  <si>
    <t>Attacks zombies within two tiles in front of it, and causes additional damage to armored zombies.</t>
  </si>
  <si>
    <t>Agave swings the sword forcefully, creating an aura that pierces the entire row, dealing damage to all the zombies on the row.</t>
  </si>
  <si>
    <t>Attack range 2 tiles to the right</t>
  </si>
  <si>
    <t>Special - Deals more damage to zombies with headgear.</t>
  </si>
  <si>
    <t>https://static.wikia.nocookie.net/plantsvszombies/images/e/e6/Agave2.png/revision/latest?cb=20211112011234</t>
  </si>
  <si>
    <t>Kiwifruit</t>
  </si>
  <si>
    <t>Kiwifruto</t>
  </si>
  <si>
    <t>Pulls out the Monkey King Bar and attacks the nearest zombie, causing damage to all zombies within the range.</t>
  </si>
  <si>
    <t>Jingu Bang enlarges, hammers the 4 tiles to the right, dealing damage to zombies there and trap them in the ground for 6 seconds.</t>
  </si>
  <si>
    <t>Special - Causes damage to all zombies in an area.</t>
  </si>
  <si>
    <t>slowing, area-effect</t>
  </si>
  <si>
    <t>https://static.wikia.nocookie.net/plantsvszombies/images/b/bc/Kiwifruit2.png/revision/latest?cb=20221216040045</t>
  </si>
  <si>
    <t>Pretty Plum</t>
  </si>
  <si>
    <t>Linda Ameixa</t>
  </si>
  <si>
    <t>Attacks zombies by launching scattered plum.</t>
  </si>
  <si>
    <t>Throws a glob of plum blossoms into the air, catches it and then immediately fires 30 plum blossoms in a sector region ahead.</t>
  </si>
  <si>
    <t>Special - Pretty Plums will scatter after hitting a zombie</t>
  </si>
  <si>
    <t>https://static.wikia.nocookie.net/plantsvszombies/images/c/c0/Pretty_Plum2.png/revision/latest?cb=20170130043820</t>
  </si>
  <si>
    <t>Dragonfruit</t>
  </si>
  <si>
    <t>Pitaia</t>
  </si>
  <si>
    <t>Spits burning pulp, dealing a small amount damage to the enemy.</t>
  </si>
  <si>
    <t>Dragonfruit fires a lava ball that rolls on the ground to the right, dealing damage to all the zombies on the row.</t>
  </si>
  <si>
    <t>area-effect, dragon</t>
  </si>
  <si>
    <t>https://static.wikia.nocookie.net/plantsvszombies/images/6/64/Dragonfruit2.png/revision/latest?cb=20180312024046</t>
  </si>
  <si>
    <t>Angel Starfruit</t>
  </si>
  <si>
    <t>Carambola Angelical</t>
  </si>
  <si>
    <t>stars in ten directions.</t>
  </si>
  <si>
    <t>Angel Starfruit fires 45 big stars with double damage to each of the five directions while spinning.</t>
  </si>
  <si>
    <t>Fires in ten directions</t>
  </si>
  <si>
    <t>https://static.wikia.nocookie.net/plantsvszombies/images/5/52/Angel_Starfruit2.png/revision/latest?cb=20190321155238</t>
  </si>
  <si>
    <t>Gatling Pea</t>
  </si>
  <si>
    <t>Ervilhadora</t>
  </si>
  <si>
    <t>Dispara quatro ervilhas em sequencia</t>
  </si>
  <si>
    <t>Deploys all firepower, shooting enemies on the three rows to the right with many machine guns.</t>
  </si>
  <si>
    <t>PvZ, PvZ 2 Chinease, PvZ Heroes, PvZ GW, PvZ GW 2, PvZ BfN</t>
  </si>
  <si>
    <t>https://static.wikia.nocookie.net/plantsvszombies/images/2/2c/Gatling_Pea2.png/revision/latest?cb=20220323010447</t>
  </si>
  <si>
    <t>Banksia Boxer</t>
  </si>
  <si>
    <t>Banksia Boxeadora</t>
  </si>
  <si>
    <t>Attacks enemies in front of it, the more it attacks the more fiery it is, can light peas after set alight.</t>
  </si>
  <si>
    <t>Immediately reaches third stage and deal damage to the 3×3 region nearby.</t>
  </si>
  <si>
    <t>Special - Light itself after attacking for a while, can also be lit by other plants. Can ignite peas after being set alight.</t>
  </si>
  <si>
    <t>https://static.wikia.nocookie.net/plantsvszombies/images/9/91/Banksia_Boxer2.png/revision/latest?cb=20221208011223</t>
  </si>
  <si>
    <t>Firebloom Queen</t>
  </si>
  <si>
    <t>Rainha da Flor de Fogo</t>
  </si>
  <si>
    <t>Flame Flower Queen attacks far enemies, and releases fire to close enemies.</t>
  </si>
  <si>
    <t>Unleashes all the wrath unto zombies to show the power of the queen, spraying flames to cover the three rows to the right, lasting 5 seconds.</t>
  </si>
  <si>
    <t>Special - Damage increases, when the enemy is close.</t>
  </si>
  <si>
    <t>https://static.wikia.nocookie.net/plantsvszombies/images/f/f8/Flame_Flower_Queen2.png/revision/latest?cb=20221208001810</t>
  </si>
  <si>
    <t>Cattail</t>
  </si>
  <si>
    <t>Rabo de gato</t>
  </si>
  <si>
    <t>Dispara no zumbi mais próximo</t>
  </si>
  <si>
    <t>Concentrates laser to fire powerful railgun shot to attack zombies, dealing massive damage in 5 seconds.</t>
  </si>
  <si>
    <t>Special - Launches homing spikes at zombies that can stun them briefly.</t>
  </si>
  <si>
    <t>https://static.wikia.nocookie.net/plantsvszombies/images/b/ba/Cattail2.png/revision/latest?cb=20210908084210</t>
  </si>
  <si>
    <t>Cob Cannon</t>
  </si>
  <si>
    <t>Canhão-de-Milho</t>
  </si>
  <si>
    <t>Dispara uma espiga devastadora em qualquer lugar.</t>
  </si>
  <si>
    <t>Cob Cannon rests after firing a floating cob. Said cob will fire kernels to attack zombies.</t>
  </si>
  <si>
    <t>Must be placed on two corn-pults</t>
  </si>
  <si>
    <t>Special - On impact, explodes in an area of 9 tiles</t>
  </si>
  <si>
    <t>manual, explosion, evolution, area-effect</t>
  </si>
  <si>
    <t>https://static.wikia.nocookie.net/plantsvszombies/images/7/73/Cob_Cannon2C.png/revision/latest?cb=20170128062225</t>
  </si>
  <si>
    <t>White Melon Sumo Wrestler</t>
  </si>
  <si>
    <t xml:space="preserve">Melão branco lutador de sumô </t>
  </si>
  <si>
    <t>White Melon Sumo Wrestler stands still, vigorously repels zombies.</t>
  </si>
  <si>
    <t>Sumo Melon attracts all zombies in a 2x3 area in front of him, then knocks them all back by 3 tile. Deals a large amount of damage with a 2 second stun.</t>
  </si>
  <si>
    <t>https://static.wikia.nocookie.net/plantsvszombies/images/0/0a/White_Melon_Sumo_Wrestler2.png/revision/latest?cb=20170701025441</t>
  </si>
  <si>
    <t>Ice Currant</t>
  </si>
  <si>
    <t>Groselada</t>
  </si>
  <si>
    <t>Icy Currants between the same line can form ice to freeze zombies.</t>
  </si>
  <si>
    <t>Icy Currant encases an iceberg on itself, making it invincible but unable to attack for 10 seconds.</t>
  </si>
  <si>
    <t>Special - Two Icy Currants on the same lane or column will form an ice wall</t>
  </si>
  <si>
    <t>area-effect, slowing, chilling</t>
  </si>
  <si>
    <t>https://static.wikia.nocookie.net/plantsvszombies/images/f/fb/Icy_Currant2.png/revision/latest?cb=20230226051255</t>
  </si>
  <si>
    <t>Tulip Trumpeter</t>
  </si>
  <si>
    <t>Tulipa Trompetista</t>
  </si>
  <si>
    <t>A plant that can attack at long range, and also heal at close range.</t>
  </si>
  <si>
    <t>Tulip Trumpeter blows the horn of music, damaging zombies in a nearby 3×3 region, recovering 100 health points of all plants.</t>
  </si>
  <si>
    <t>Special - In offensive state when zombies aren't too close, otherwise switches to healing state for all your offensive and defensive needs.</t>
  </si>
  <si>
    <t>orchestra, healing</t>
  </si>
  <si>
    <t>https://static.wikia.nocookie.net/plantsvszombies/images/5/54/Tulip_Trumpeter2.png/revision/latest?cb=20180330233219</t>
  </si>
  <si>
    <t>Eggplant Ninja</t>
  </si>
  <si>
    <t>Beringela Ninja</t>
  </si>
  <si>
    <t>Can use ninja stars to deal damage to zombies in its arc attack range.</t>
  </si>
  <si>
    <t>Eggplant Ninja multiplies the ninja stars, firing 5 ninja stars to the right in arcs, eventually returning to Eggplant Ninja, dealing damage to all zombies they passed through.</t>
  </si>
  <si>
    <t>https://static.wikia.nocookie.net/plantsvszombies/images/5/55/Eggplant_Ninja2.png/revision/latest?cb=20230226051118</t>
  </si>
  <si>
    <t>Banana Dancer</t>
  </si>
  <si>
    <t>Bananeira Dançarina</t>
  </si>
  <si>
    <t>Banana Dancer shoots tornadoes dealing damage to zombies or pushing them back.</t>
  </si>
  <si>
    <t>Banana Dancer forcefully waves the fans, creating a huge whirlwind. It stops in place after hitting a target, pulling and dealing damage to small-sized zombies in a nearby 3×3 region, lasting for 5 seconds.</t>
  </si>
  <si>
    <t>Attacks every 15 seconds</t>
  </si>
  <si>
    <t>Special - Can push zombies back to the last tile.</t>
  </si>
  <si>
    <t>orchestra, control, tornado</t>
  </si>
  <si>
    <t>https://static.wikia.nocookie.net/plantsvszombies/images/7/73/Banana_Dancer2.png/revision/latest?cb=20200519051649</t>
  </si>
  <si>
    <t>Dual Pistol Pinecone</t>
  </si>
  <si>
    <t>Pinha Pistola Dupla</t>
  </si>
  <si>
    <t>After defeating a zombie, releases a special attack.</t>
  </si>
  <si>
    <t>Dual Pistol Pinecone enters sharpshooter mode, consecutively firing 6 zombie-seeking flaming pinecones, dealing splash damage in a small area.</t>
  </si>
  <si>
    <t>Special - After killing a zombie, shoots a stronger projectile that knocks the zombie it hits back.</t>
  </si>
  <si>
    <t>https://static.wikia.nocookie.net/plantsvszombies/images/5/5b/Dual_Pistol_Pinecone2.png/revision/latest?cb=20221216013432</t>
  </si>
  <si>
    <t>Narcissus Shooter</t>
  </si>
  <si>
    <t>Narcisatirador</t>
  </si>
  <si>
    <t>Narcissus Shooter spits a large numbers of bubbles within a certain angle forwards. These bubbles also have a chance to spawn bubbles on zombies' headwear.</t>
  </si>
  <si>
    <t>She will spit many bubbles across the lawn that can also remove armor and take aways imps.</t>
  </si>
  <si>
    <t>Special - Big bubbles can carry away zombies armor and Imp zombies</t>
  </si>
  <si>
    <t>https://static.wikia.nocookie.net/plantsvszombies/images/a/a0/Narcissus_Shooter2.png/revision/latest?cb=20181202123451</t>
  </si>
  <si>
    <t>Alarm Arrowhead</t>
  </si>
  <si>
    <t>Singônio Alarmado</t>
  </si>
  <si>
    <t>Alarm Explosive Arrowhead deals heavy damage to zombies while at the same time disabling machines</t>
  </si>
  <si>
    <t>Alarm Explosive Arrowhead triggers an alarm, summoning a railgun shot from above, damaging zombies on the 2 tiles nearby and stunning zombies for 2 seconds.</t>
  </si>
  <si>
    <t>When straight to another Alarm Arrowhead, it creates a line, the zombie that crosses it is attacked by one of the plants.</t>
  </si>
  <si>
    <t>area-effect, control</t>
  </si>
  <si>
    <t>https://static.wikia.nocookie.net/plantsvszombies/images/0/0f/Alarm_Explosive_Arrowhead2.png/revision/latest?cb=20190131143929</t>
  </si>
  <si>
    <t>Crystal Orchid</t>
  </si>
  <si>
    <t>Orquidea Cristalina</t>
  </si>
  <si>
    <t>The controller of ice and snow, likes to turn enemies into snowmen.</t>
  </si>
  <si>
    <t>Crystal Orchid unleashes strong freezing wind, creating a snow, damaging zombies and turning at most 1 zombie from each tile into snowmen.</t>
  </si>
  <si>
    <t>Attack range 3 tiles to right</t>
  </si>
  <si>
    <t>chilling, freezing</t>
  </si>
  <si>
    <t>https://static.wikia.nocookie.net/plantsvszombies/images/c/c8/Crystal_Orchid2.png/revision/latest?cb=20230222040307</t>
  </si>
  <si>
    <t>Thunder Snapdragon</t>
  </si>
  <si>
    <t>Boca-de-Dragão Elétrico</t>
  </si>
  <si>
    <t>Spits out a lightning ball, that discharges an electrical current, causing ranged damage to approaching zombies.</t>
  </si>
  <si>
    <t>Thunder Snapdragon floats and spits an electric ball on the tile to the right. Said electric ball spreads to nearby tiles upon landing, damaging and paralyzing zombies for 3 seconds.</t>
  </si>
  <si>
    <t>control, area-effect, chain_attack, dragon</t>
  </si>
  <si>
    <t>https://static.wikia.nocookie.net/plantsvszombies/images/e/e9/Thunder_Snapdragon2.png/revision/latest?cb=20190810152622</t>
  </si>
  <si>
    <t>Egret Flower Plane</t>
  </si>
  <si>
    <t>Jato da garça-branca</t>
  </si>
  <si>
    <t>Missile attack, stuns a zombie when hit</t>
  </si>
  <si>
    <t>White Egret Flower Fighter Plane calls for aerial support, launching 3 incendiary missiles which prioritize locations with zombies, dealing explosion damage in a 3×3 area upon landing, leaving fire which can deal damage for 5 seconds.</t>
  </si>
  <si>
    <t>flying, control</t>
  </si>
  <si>
    <t>https://static.wikia.nocookie.net/plantsvszombies/images/a/ae/Egret_Flower_Plane2.png/revision/latest?cb=20200114205809</t>
  </si>
  <si>
    <t>Elaeocarpus-pult</t>
  </si>
  <si>
    <t>Elaeocarpus-pulta</t>
  </si>
  <si>
    <t>Will bounce shuttlecocks off of zombies when they're far away, and will kill lower-health zombies when they're at close range.</t>
  </si>
  <si>
    <t>Elaeocarpus-pult temporarily changes the way of attacking, striking a horizontally spinning shot, creating a whirlwind which deals damage multiple times upon hitting a zombie. Said whirlwind moves for 1 tile.</t>
  </si>
  <si>
    <t>https://static.wikia.nocookie.net/plantsvszombies/images/5/5d/Elaeocarpus-pult2.png/revision/latest?cb=20200418155447</t>
  </si>
  <si>
    <t>Water Chestnut Brothers</t>
  </si>
  <si>
    <t>Irmãos Castanhas-d'agua</t>
  </si>
  <si>
    <t>Deals damage to zombies by striking them with curling stones and generates an ice trail to slow them down.</t>
  </si>
  <si>
    <t>Water Chestnut Brothers fuses into one big curling stone, moving to the right to deal piercing damage to all zombies on the row, knocking away small-to-medium sized zombies. Leaves an ice trail which lasts for 5 seconds, slowing zombies on it.</t>
  </si>
  <si>
    <t>summon- chilling, freezing, area-effect, control</t>
  </si>
  <si>
    <t>https://static.wikia.nocookie.net/plantsvszombies/images/d/d2/Water_Chestnut_Brothers2.png/revision/latest?cb=20200716201954</t>
  </si>
  <si>
    <t>Dollarweed Drummer</t>
  </si>
  <si>
    <t>Acariçoba Baterista</t>
  </si>
  <si>
    <t>Dollarweed Drummers can provide a variety of buffs to plants, with max buffs given to Orchestra Plants.</t>
  </si>
  <si>
    <t>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t>
  </si>
  <si>
    <t>Boosts adjacents plants</t>
  </si>
  <si>
    <t>orchestra, healing, slowing</t>
  </si>
  <si>
    <t>https://static.wikia.nocookie.net/plantsvszombies/images/8/88/Dollarweed_Drummer2.png/revision/latest?cb=20201226065335</t>
  </si>
  <si>
    <t>Shadow Vanilla</t>
  </si>
  <si>
    <t>Baunilha Sombria</t>
  </si>
  <si>
    <t>Shadow Vanilla can put zombies in a "vulnerable" state by charging its leaves while in its shadow form.</t>
  </si>
  <si>
    <t>Fires a shadow whirlwind to the right, splitting into 9 whirlwinds upon hitting a zombie, dealing damage constantly. When powered, fire one whirlwind for each of the three rows to the right, piercing and dealing damage to all zombies.</t>
  </si>
  <si>
    <t>https://static.wikia.nocookie.net/plantsvszombies/images/e/e5/Shadow_Vanilla2.png/revision/latest?cb=20210728071427</t>
  </si>
  <si>
    <t>Bromel Blade</t>
  </si>
  <si>
    <t>Bromélia Navalha</t>
  </si>
  <si>
    <t>Bromel Blade wields his chain blade to deal lots of damage to zombies.</t>
  </si>
  <si>
    <t>Splendens Blade quickly pulls out the blade, dealing damage to all zombies in a 3×3 region to the right.</t>
  </si>
  <si>
    <t>Attack range 2 tiles to right</t>
  </si>
  <si>
    <t>https://static.wikia.nocookie.net/plantsvszombies/images/4/47/Splendens_Blade2.png/revision/latest?cb=20201212160706</t>
  </si>
  <si>
    <t>Earthstar Nuclear Silo</t>
  </si>
  <si>
    <t>Estrela-da-terra Nuclear</t>
  </si>
  <si>
    <t>Launches nuclear bombs, dealing high damage, and leaving behind radiation which mutates zombies.</t>
  </si>
  <si>
    <t>Earthstar Nuclear Silo finishes resting and immediately launches 4 nukes, dealing explosion damage to zombies in a 1×2 area and mutating them.</t>
  </si>
  <si>
    <t>Costs more sun the more earthstar Silo Launcher are on the board</t>
  </si>
  <si>
    <t>area-effect, explosion, poison</t>
  </si>
  <si>
    <t>nukelauncher</t>
  </si>
  <si>
    <t>https://static.wikia.nocookie.net/plantsvszombies/images/6/6a/Earthstar_Nuclear_Silo2.png/revision/latest?cb=20210526043408</t>
  </si>
  <si>
    <t>Celebration Soda Palm</t>
  </si>
  <si>
    <t>Palmeira Garrafa Celebrante</t>
  </si>
  <si>
    <t>After being damaged for a certain amount of time, will spray out soda to knock back zombie in front of it</t>
  </si>
  <si>
    <t>Celebration Soda Palm immediately restores all the health and sprays a large amount of soda to the right, pushing all zombies in a 3×3 area on the right to the 4 column from the right.</t>
  </si>
  <si>
    <t>Attack range 4 tiles to right</t>
  </si>
  <si>
    <t>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t>
  </si>
  <si>
    <t>https://static.wikia.nocookie.net/plantsvszombies/images/b/bb/Celebration_Soda_Palm2.png/revision/latest?cb=20210816072216</t>
  </si>
  <si>
    <t>Impatiens Shooter</t>
  </si>
  <si>
    <t>Dispara-sem-vergonha</t>
  </si>
  <si>
    <t>Spits out dye bullets to attack the zombies ahead</t>
  </si>
  <si>
    <t>Impatiens Shooter enters the next phase via recolouring, consecutively shooting dye of corresponding colour to the right, dealing damage to zombies.</t>
  </si>
  <si>
    <t>Special - Spits out dye bullets to attack zombies in front of them. After a period of time, they will dye themselves to shoot more powerful bullets.</t>
  </si>
  <si>
    <t>control, slowing, stun</t>
  </si>
  <si>
    <t>https://static.wikia.nocookie.net/plantsvszombies/images/0/0c/Impatiens_Shooter2.png/revision/latest?cb=20211018030240</t>
  </si>
  <si>
    <t>Tiger Claw</t>
  </si>
  <si>
    <t>Garras de Tigre</t>
  </si>
  <si>
    <t>Grabs the first zombie it encounters to use as a shield</t>
  </si>
  <si>
    <t>Claw Gloriosa attracts at most 5 zombies from a 3×3 region to the right, moving them to a tile on the right, to use a charged punch, dealing damage to all the zombies and knocking them back for 3 tiles.</t>
  </si>
  <si>
    <t>Grab's rests 30 seconds</t>
  </si>
  <si>
    <t>Special - Grabs the closest zombie to use as a shield, and punches other zombies at the same time.</t>
  </si>
  <si>
    <t>https://static.wikia.nocookie.net/plantsvszombies/images/5/59/Tiger_Claw2.png/revision/latest?cb=20211018033803</t>
  </si>
  <si>
    <t>Hammer Flower</t>
  </si>
  <si>
    <t>Flor Martelo</t>
  </si>
  <si>
    <t>Can hammer zombies into the the ground when attacking.</t>
  </si>
  <si>
    <t>Hammer Flower throws the hammer into the air, which falls as a giant hammer, dealing damage to all zombies in a 3×3 area to the right, trapping small-to-medium sized zombies in the ground for 3 seconds, stunning large-sized zombies for 3 seconds.</t>
  </si>
  <si>
    <t>Special - Hammers zombies into the ground to causing a powerful stun effect, and can directly defeat a zombie in seconds</t>
  </si>
  <si>
    <t>https://static.wikia.nocookie.net/plantsvszombies/images/7/75/Hammer_Flower2.png/revision/latest?cb=20211205022154</t>
  </si>
  <si>
    <t>Fishhook Grass</t>
  </si>
  <si>
    <t>Grama Anzol</t>
  </si>
  <si>
    <t>When attacking, Fishhook Grass can reel in and throw back zombies.</t>
  </si>
  <si>
    <t>Fishhook Grass fires multiple fishhooks at once, pulling the closest zombie to the plant and damage it, afterwards throwing it away forcefully. Deals massive damage to the zombie if it can't be hooked.</t>
  </si>
  <si>
    <t>attack's rests 15 seconds</t>
  </si>
  <si>
    <t>Special - Catches zombies and throws them out, dealing damage and stunning the first zombie the catch collodes with.</t>
  </si>
  <si>
    <t>https://static.wikia.nocookie.net/plantsvszombies/images/9/9f/Fishhook_Grass2.png/revision/latest?cb=20211205022802</t>
  </si>
  <si>
    <t>Mangosteen</t>
  </si>
  <si>
    <t>Mangostão</t>
  </si>
  <si>
    <t>Emits a ring of electricity around itself.</t>
  </si>
  <si>
    <t>Lightning strikes from the sky, energy stored by Mangosteen overflowers, unleashing a ring of electricity that spreads outwards which covers a 5×5 region, dealing great electrical damage to all zombies which come into contact with it.</t>
  </si>
  <si>
    <t>Attack range 3x3 area around itself</t>
  </si>
  <si>
    <t>Special - Emits a ring of electricity to attack surrounding zombies, grows overtime after being planted</t>
  </si>
  <si>
    <t>control, area-effect, chain_attack</t>
  </si>
  <si>
    <t>https://static.wikia.nocookie.net/plantsvszombies/images/d/d7/Mangosteen2.png/revision/latest?cb=20211222225341</t>
  </si>
  <si>
    <t>Tigerstool</t>
  </si>
  <si>
    <t>Tigrogumelo</t>
  </si>
  <si>
    <t>Stuns the zombies ahead with a roar, then sends out phantoms to attack.</t>
  </si>
  <si>
    <t>Tigerstool opens the maw to deal massive damage to zombies in a 3×3 to the right via biting.</t>
  </si>
  <si>
    <t>Attack range 2x3 tiles ahead</t>
  </si>
  <si>
    <t>Special - Stuns the zombies ahead with a roar, then sends out several phantoms to attack zombies in multiple directions.</t>
  </si>
  <si>
    <t>control, area-effect, zodiac</t>
  </si>
  <si>
    <t>https://static.wikia.nocookie.net/plantsvszombies/images/f/f7/Tigerstool2.png/revision/latest?cb=20220125215427</t>
  </si>
  <si>
    <t>Gardener Grass</t>
  </si>
  <si>
    <t>Grama Cortadora</t>
  </si>
  <si>
    <t>Uses the hat on its head to attack zombies.</t>
  </si>
  <si>
    <t>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t>
  </si>
  <si>
    <t>Special - Attacks with the hat on the head, damaged zombies can have their arms cut</t>
  </si>
  <si>
    <t>https://static.wikia.nocookie.net/plantsvszombies/images/f/f1/Gardener_Grass2.png/revision/latest?cb=20220311003749</t>
  </si>
  <si>
    <t>Byttneria Meteor Hammer</t>
  </si>
  <si>
    <t>Opúncia Martelo Meteoro</t>
  </si>
  <si>
    <t>Byttneria Meteor Hammer can slam zombies using it’s meteor hammer. When not attacking, it charges up for an attack that can cause knockback.</t>
  </si>
  <si>
    <t>Byttneria Meteor Hammer spins the meteor hammer to charge and smash the tile to the right, dealing shockwave damage to all zombies in a 2-tile sector region to the right while knocking them back for 1 tile.</t>
  </si>
  <si>
    <t>Special - Will charge up when not attacking zombies</t>
  </si>
  <si>
    <t>https://static.wikia.nocookie.net/plantsvszombies/images/6/63/Byttneria_Meteor_Hammer2.png/revision/latest?cb=20221001234422</t>
  </si>
  <si>
    <t>Laser Crown Flower</t>
  </si>
  <si>
    <t>Madar Lazer</t>
  </si>
  <si>
    <t>Fires a laser that penetrates zombies, is blocked by larger zombies, and increases damage over time</t>
  </si>
  <si>
    <t>Laser Crown Flower pumps the bud to charge, firing 1 laser ball to the right, up-right and down-right, knocking away small-to-medium sized zombies, exploding upon coming into contact with large-sized or mechanical zombies to deal damage.</t>
  </si>
  <si>
    <t>Special - Laser fires continuously, increasing damage over time</t>
  </si>
  <si>
    <t>https://static.wikia.nocookie.net/plantsvszombies/images/a/a7/Laser_Crown_Flower2.png/revision/latest?cb=20221001055728</t>
  </si>
  <si>
    <t>Orchid Mage</t>
  </si>
  <si>
    <t>Orquídea Maga</t>
  </si>
  <si>
    <t>Launches a gravitational ball that explodes and attracts small and medium zombies to the center</t>
  </si>
  <si>
    <t>Orchid Mage immediately finishes charging and consecutively throws 4 gravitational orbs to 4 zombies, each orb deals damage to nearby zombies in a 3×3 area and pull them towards it by 0.5 tiles.</t>
  </si>
  <si>
    <t>attack's rests 14 seconds</t>
  </si>
  <si>
    <t>Special - After the gravitational ball explodes, it attracts surrounding zombies to the center;
Special - It has three orbs that can repel 1 zombie</t>
  </si>
  <si>
    <t>control, area-effect, flying</t>
  </si>
  <si>
    <t>https://static.wikia.nocookie.net/plantsvszombies/images/3/39/Orchid_Mage2.png/revision/latest?cb=20221109070331</t>
  </si>
  <si>
    <t>Twin Year of the Rabbits</t>
  </si>
  <si>
    <t>Coelhos de anos gêmeos</t>
  </si>
  <si>
    <t>Twin Year of the Rabbits burrow into the ground and surface under the feet of zombies in front of them, knocking them into the air.</t>
  </si>
  <si>
    <t>Twin Year of the Rabbits will burrow underground and pop up repeatedly in the 3x3 area in front of it to attack with fireworks, prioritizing tiles with zombies in them.</t>
  </si>
  <si>
    <t>Special - launches zombies the same lane ahead</t>
  </si>
  <si>
    <t>control, zodiac</t>
  </si>
  <si>
    <t>https://static.wikia.nocookie.net/plantsvszombies/images/b/b9/Twin_Year_of_the_Rabbits2.png/revision/latest?cb=20230129074906</t>
  </si>
  <si>
    <t>Pea Pharmacist</t>
  </si>
  <si>
    <t>Ervilha Farmacêutica</t>
  </si>
  <si>
    <t>Pea Pharmacist throws polymorph peas at zombies to turn them into peas.</t>
  </si>
  <si>
    <t>Throws polymorph peas at zombies to turn them into peas, only zombies up to two levels higher than the plant can be transformed</t>
  </si>
  <si>
    <t>control, summon</t>
  </si>
  <si>
    <t>https://static.wikia.nocookie.net/plantsvszombies/images/e/e9/Pea_Pharmacist2.png/revision/latest?cb=20230129074812</t>
  </si>
  <si>
    <t>Pike Hoya</t>
  </si>
  <si>
    <t>Hoyaespinho</t>
  </si>
  <si>
    <t xml:space="preserve">Pike Hoya throws pikes, dealing damage to zombies.
</t>
  </si>
  <si>
    <t>Rapidly twirls his pike in the air, dragging zombies from a 3x3 area around him to the tile in front of him while dealing continuous damage.</t>
  </si>
  <si>
    <t>https://static.wikia.nocookie.net/plantsvszombies/images/b/b1/Pike_Hoya2.png/revision/latest?cb=20230129074720</t>
  </si>
  <si>
    <t>Burdock Batter</t>
  </si>
  <si>
    <t>Bardana Batedora</t>
  </si>
  <si>
    <t>Can hit passing peas for greater damage and control.</t>
  </si>
  <si>
    <t>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t>
  </si>
  <si>
    <t>Special - Can hit passing peas for greater damage and control</t>
  </si>
  <si>
    <t>control, boost</t>
  </si>
  <si>
    <t>https://static.wikia.nocookie.net/plantsvszombies/images/e/e0/Burdock_Batter2.png/revision/latest?cb=20230309021850</t>
  </si>
  <si>
    <t>Capaci-cone</t>
  </si>
  <si>
    <t>Absorbs electricity and then stores him, then condenses he into an electric ring and shoots him out.</t>
  </si>
  <si>
    <t>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t>
  </si>
  <si>
    <t>Special - Absorbs electricity and then stores him, then condenses he into an electric ring and shoots him out.</t>
  </si>
  <si>
    <t>https://static.wikia.nocookie.net/plantsvszombies/images/3/30/Capaci-cone2.png/revision/latest?cb=20230430190812</t>
  </si>
  <si>
    <t>Cranesbill Fencer</t>
  </si>
  <si>
    <t>Gerânio esgrimista</t>
  </si>
  <si>
    <t>Hops forward to attack, then jumps back to the original tile, making Gargantuars miss their attacks.</t>
  </si>
  <si>
    <t>Draws a five-pointed star on the surrounding ground, causing damage to zombies within a 3x3 range.</t>
  </si>
  <si>
    <t>Special - Hops forward to attack, then jumps back to the original tile, making Gargantuars miss their attacks.</t>
  </si>
  <si>
    <t>https://static.wikia.nocookie.net/plantsvszombies/images/c/ce/Cranesbill_Fencer2.png/revision/latest?cb=20230430190734</t>
  </si>
  <si>
    <t>Gorgon Pitcher</t>
  </si>
  <si>
    <t>Gorgona Sarracenia</t>
  </si>
  <si>
    <t>Gorgon Pitcher can petrify zombies, and can also fire snake spirits to damage zombies.</t>
  </si>
  <si>
    <t>When fed Plant Food, Gorgon Pitcher will unleash a large fan-shaped petrifying glare ahead of it.</t>
  </si>
  <si>
    <t>petrify's rests 20 seconds</t>
  </si>
  <si>
    <t>Special - Petrifies zombies.</t>
  </si>
  <si>
    <t>control, chomper</t>
  </si>
  <si>
    <t>https://static.wikia.nocookie.net/plantsvszombies/images/6/65/Gorgon_Pitcher2.png/revision/latest?cb=20230526001308</t>
  </si>
  <si>
    <t>Abyss Anemone</t>
  </si>
  <si>
    <t>Anêmona Abissal</t>
  </si>
  <si>
    <t>Drags zombies into the abyss and absorbs them, to charge the cracking eye.</t>
  </si>
  <si>
    <t>When fed Plant Food, Abyss Anemone will grab zombies in a 3x3 area, and drag them into the abyss, while also directly digesting them. Zombies that can not be dragged into the abyss will not be affected by this plant food effect.</t>
  </si>
  <si>
    <t>attack's rests 25 seconds. Costs more sun the more abyss anemone are on the board</t>
  </si>
  <si>
    <t>abyss</t>
  </si>
  <si>
    <t>cthulhuactinia</t>
  </si>
  <si>
    <t>https://static.wikia.nocookie.net/plantsvszombies/images/4/47/Abyss_Anemone2.png/revision/latest?cb=20230707001419</t>
  </si>
  <si>
    <t>Parkour Mandrake</t>
  </si>
  <si>
    <t>Mandrake Parkour</t>
  </si>
  <si>
    <t>Parkour Mandrake runs forward, performing parkour actions when encountering zombies.</t>
  </si>
  <si>
    <t>When fed Plant Food, Parkour Mandrake will charge forward at high speeds, knocking the entire lane of small and medium sized zombies in the air, causing damage to other zombies that couldn't be knocked.</t>
  </si>
  <si>
    <t>Special - Runs forward, performing parkour actions when encountering zombies.</t>
  </si>
  <si>
    <t>https://static.wikia.nocookie.net/plantsvszombies/images/4/41/Parkour_Mandrake2.png/revision/latest?cb=20230707000354</t>
  </si>
  <si>
    <t>Abyss Devil's Claw</t>
  </si>
  <si>
    <t>Garra Demoniaca Abissal</t>
  </si>
  <si>
    <t>Abyss Devil's Claw can summon Abyss Disciples to squeeze zombies to attack and absorb energy.</t>
  </si>
  <si>
    <t>Spits out an egg that will instantly hatch into a Disciple Gargantuar. Disciple Gargantuar will move down their lanes and attack enemy zombies, leaving behind a slowing puddle of acid upon death.</t>
  </si>
  <si>
    <t>Costs more sun the more abyss devil's claw are on the board</t>
  </si>
  <si>
    <t>abyss, summon</t>
  </si>
  <si>
    <t>devilsflower</t>
  </si>
  <si>
    <t>https://static.wikia.nocookie.net/plantsvszombies/images/8/8c/Abyss_Devil%27s_Claw2.png/revision/latest?cb=20230915022000</t>
  </si>
  <si>
    <t>Hoya Heart</t>
  </si>
  <si>
    <t>Hoya Fanática</t>
  </si>
  <si>
    <t>Supports the plant in front of him, increasing his attack power and restoring health.</t>
  </si>
  <si>
    <t>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t>
  </si>
  <si>
    <t>Support the plant ahead for 10 seconds</t>
  </si>
  <si>
    <t>boost</t>
  </si>
  <si>
    <t>hoyacordata</t>
  </si>
  <si>
    <t>https://static.wikia.nocookie.net/plantsvszombies/images/a/a6/Hoya_Heart2.png/revision/latest?cb=20230903215635</t>
  </si>
  <si>
    <t>Oilseed-pult</t>
  </si>
  <si>
    <t>Colza-pulta</t>
  </si>
  <si>
    <t>Throws oil seeds to ignite zombies or create pillars of fire.</t>
  </si>
  <si>
    <t>When given Plant Food, Oilseed-pult will throws oil seeds at every zombie and obstacle on the lawn.</t>
  </si>
  <si>
    <t>butter, warm</t>
  </si>
  <si>
    <t>rapeflower</t>
  </si>
  <si>
    <t>https://static.wikia.nocookie.net/plantsvszombies/images/5/58/Oilseed-pult2.png/revision/latest?cb=20230926000742</t>
  </si>
  <si>
    <t>Leaf-Blade Dracaena</t>
  </si>
  <si>
    <t>Dragoeiro Folha Lâmina</t>
  </si>
  <si>
    <t>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t>
  </si>
  <si>
    <t>When fed Plant Food, Dracaena summons a large amount of swords forwards which deals a heavy amount of knockback damage.</t>
  </si>
  <si>
    <t>dracaena</t>
  </si>
  <si>
    <t>https://static.wikia.nocookie.net/plantsvszombies/images/d/d8/Leaf-Blade_Dracaena2.png/revision/latest?cb=20231115171036</t>
  </si>
  <si>
    <t>Sunshine Leek</t>
  </si>
  <si>
    <t>Alho-poró solar</t>
  </si>
  <si>
    <t>Produces sun, and diverts zombies to other lanes.</t>
  </si>
  <si>
    <t>Instantly turns into elder mode and produce suns.</t>
  </si>
  <si>
    <t>solarleek</t>
  </si>
  <si>
    <t>https://static.wikia.nocookie.net/plantsvszombies/images/6/62/Sunshine_Leek2.png/revision/latest?cb=20231228004246</t>
  </si>
  <si>
    <t>Gluttonous Snapdragon</t>
  </si>
  <si>
    <t>Boca-de-Dragão Devorador</t>
  </si>
  <si>
    <t>Eats snacks or nibbles zombies to build up energy, then consumes the energy to spit out flames.</t>
  </si>
  <si>
    <t>Inhales several zombies then burps from a long range.</t>
  </si>
  <si>
    <t>chomper, dragon, zodiac</t>
  </si>
  <si>
    <t>gluttonydragon</t>
  </si>
  <si>
    <t>https://static.wikia.nocookie.net/plantsvszombies/images/f/f1/Gluttonous_Snapdragon2.png/revision/latest?cb=20240202052734</t>
  </si>
  <si>
    <t>Heliconia Gunner</t>
  </si>
  <si>
    <t>Helicôniadora</t>
  </si>
  <si>
    <t>Normal ability: Uses their machine gun to shoot zombies, giving priority to the zombies on behind. They needs to change bullets after a round of shooting.
Net gun: There are 3 net guns on the back. Attack zombies to make them unable to move. The number of net guns can’t be recovered.</t>
  </si>
  <si>
    <t>Rotate the gun and fire bullets crazily.</t>
  </si>
  <si>
    <t>https://static.wikia.nocookie.net/plantsvszombies/images/5/50/Heliconia_Gunner2.png/revision/latest?cb=20240312005444</t>
  </si>
  <si>
    <t>Thorn Wizard</t>
  </si>
  <si>
    <t>Mago Espinho</t>
  </si>
  <si>
    <t>Uses thorns to wrap around or stab zombies, which can poison zombies after attacking</t>
  </si>
  <si>
    <t>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t>
  </si>
  <si>
    <t>https://static.wikia.nocookie.net/plantsvszombies/images/d/db/Thorn_Wizard2.png/revision/latest?cb=20240423072847</t>
  </si>
  <si>
    <t>Cactus Mistletoe</t>
  </si>
  <si>
    <t>Cacto Visco</t>
  </si>
  <si>
    <t>With the help of migratory birds, drops seeds on zombies' heads, and will bloom on their heads, hypnotizing them.</t>
  </si>
  <si>
    <t>When fed Plant Food, Cactus Mistletoe will grow a large flower which attracts up to 5 birds, hypnotizing up to 5 zombies.</t>
  </si>
  <si>
    <t>tristerixaphyllus</t>
  </si>
  <si>
    <t>https://static.wikia.nocookie.net/plantsvszombies/images/6/61/Cactus_Mistletoe2.png/revision/latest?cb=20240523193645</t>
  </si>
  <si>
    <t>Sawblade Sundew</t>
  </si>
  <si>
    <t>Dróserra</t>
  </si>
  <si>
    <t>Throws a sawblade that spins around itself and continuously attacks surrounding zombies.</t>
  </si>
  <si>
    <t>The plant continuously shoots sawblades outward while rotating. The color of the sawblade's flame will change as the level rises.</t>
  </si>
  <si>
    <t>chomper, area-effect</t>
  </si>
  <si>
    <t>chainsawburmannii</t>
  </si>
  <si>
    <t>https://static.wikia.nocookie.net/plantsvszombies/images/3/36/Sawblade_Sundew2.png/revision/latest?cb=20240523204137</t>
  </si>
  <si>
    <t>Electric Tailgrape</t>
  </si>
  <si>
    <t>Ilang-ilang Elétrico</t>
  </si>
  <si>
    <t>Lobs balls of lightning that continuously zap zombies</t>
  </si>
  <si>
    <t>When fed Plant Food, Electric Tailgrape will throw a large ball of lightning that continuously damages zombies in a 3x3 area.</t>
  </si>
  <si>
    <t>eagleclaw</t>
  </si>
  <si>
    <t>https://static.wikia.nocookie.net/plantsvszombies/images/3/3d/Electric_Tailgrape2.png/revision/latest?cb=20240711013633</t>
  </si>
  <si>
    <t>Gramophone Datura</t>
  </si>
  <si>
    <t>Datura Gramophone</t>
  </si>
  <si>
    <t>When a projectile passes by, it generates resonance sound waves to attack surrounding zombies.</t>
  </si>
  <si>
    <t>Gramophone Datura releases a 5x5 wave that deals huge damage to zombies.</t>
  </si>
  <si>
    <t>heavendatura</t>
  </si>
  <si>
    <t>https://static.wikia.nocookie.net/plantsvszombies/images/a/ac/Gramophone_Datura2.png/revision/latest?cb=20240901124249</t>
  </si>
  <si>
    <t>Crazy Flamevine</t>
  </si>
  <si>
    <t>Flor-de-são-joão Doidona</t>
  </si>
  <si>
    <t>Crazy Flamevine can attack zombies in three lanes and can briefly stun zombies.</t>
  </si>
  <si>
    <t>When given Plant Food, Crazy Flamevine will lob firecrackers at every zombie on screen, which will stun them and deal heavy damage in a single tile.</t>
  </si>
  <si>
    <t>firecrackerflower</t>
  </si>
  <si>
    <t>https://static.wikia.nocookie.net/plantsvszombies/images/3/33/Crazy_Firecracker_Flower2.png/revision/latest?cb=20240901124501</t>
  </si>
  <si>
    <t>Lunisolar Honeysuckle</t>
  </si>
  <si>
    <t>Lonicera Lunisolar</t>
  </si>
  <si>
    <t>The golden flower summons the sun to deal fire damage, and the silver flower summons the moon to deal ice damage.</t>
  </si>
  <si>
    <t>When given Plant Food, both flowers of Lunisolar Honeysuckle will summon their respective projectiles which will travel a short distance ahead before combining and exploding, dealing extreme damage in a 5x5 area.</t>
  </si>
  <si>
    <t>twinshoneysuckle</t>
  </si>
  <si>
    <t>https://static.wikia.nocookie.net/plantsvszombies/images/2/2d/Lunisolar_Honeysuckle2.png/revision/latest?cb=20241028203916</t>
  </si>
  <si>
    <t>Frost Rambutan</t>
  </si>
  <si>
    <t>Rambutão Gelado</t>
  </si>
  <si>
    <t>Spits out snowballs to attack, with a chance of freezing the attacked zombie and directly breaking the ice through impact.</t>
  </si>
  <si>
    <t>When given Plant Food, Frost Rambutan will inflate into a round spiky ball, and he will roll down and change directions by 45 degrees every time a zombie is hit.</t>
  </si>
  <si>
    <t>Special - The snowballs have a 5% chance of freezing a zombie in their 3x3 area in an ice block.</t>
  </si>
  <si>
    <t>area-effect, chilling, freezing</t>
  </si>
  <si>
    <t>https://static.wikia.nocookie.net/plantsvszombies/images/9/99/Frost_Rambutan2.png/revision/latest?cb=20241113015534</t>
  </si>
  <si>
    <t>Tribe</t>
  </si>
  <si>
    <t>Sub-tribe</t>
  </si>
  <si>
    <t>Origin-tribe</t>
  </si>
  <si>
    <t>Trait</t>
  </si>
  <si>
    <t>Ability</t>
  </si>
  <si>
    <t>Strength</t>
  </si>
  <si>
    <t>Health</t>
  </si>
  <si>
    <t>Mega-Grow</t>
  </si>
  <si>
    <t>-</t>
  </si>
  <si>
    <t>Plant</t>
  </si>
  <si>
    <t>Basic</t>
  </si>
  <si>
    <t>Torchwood</t>
  </si>
  <si>
    <t>Tronco Flamejante</t>
  </si>
  <si>
    <t>Tree</t>
  </si>
  <si>
    <t>Team-up</t>
  </si>
  <si>
    <t>Peas behind this get +2 Strength.</t>
  </si>
  <si>
    <t>"Feel the burn, I COMMAND YOU!"</t>
  </si>
  <si>
    <t>Cabbage-Pult</t>
  </si>
  <si>
    <t>Repolhopulta</t>
  </si>
  <si>
    <t>Leafy</t>
  </si>
  <si>
    <t>When played on Heights: This gets +1 Strength/+1 Heart.</t>
  </si>
  <si>
    <t>"Coleslaw from above!"</t>
  </si>
  <si>
    <t>Fertilize</t>
  </si>
  <si>
    <t>Fertilizar</t>
  </si>
  <si>
    <t>Trick</t>
  </si>
  <si>
    <t>A Plant gets +3 Strength/+3 Heart.</t>
  </si>
  <si>
    <t>Stinky, sure, but powerful stuff. Ask any Plant.</t>
  </si>
  <si>
    <t>Flourish</t>
  </si>
  <si>
    <t>Florescer</t>
  </si>
  <si>
    <t>Draw two cards.</t>
  </si>
  <si>
    <t>Call it a growth spurt.</t>
  </si>
  <si>
    <t>Grow-Shroom</t>
  </si>
  <si>
    <t>Cogumelouco</t>
  </si>
  <si>
    <t>Mushroom</t>
  </si>
  <si>
    <t>When played: Another Plant gets +2 Strength/+2 Heart.</t>
  </si>
  <si>
    <t>She's always bringing out the best in others.</t>
  </si>
  <si>
    <t>Duplervilha</t>
  </si>
  <si>
    <t>Double Strike</t>
  </si>
  <si>
    <t>"Yes! Yes! Let's do this! Let's do this!"</t>
  </si>
  <si>
    <t>Bellflower</t>
  </si>
  <si>
    <t>Campânula</t>
  </si>
  <si>
    <t>Solar</t>
  </si>
  <si>
    <t>She wants to be friends with Snowdrop soooo badly, but she feels like she's always getting the cold shoulder.</t>
  </si>
  <si>
    <t>Team-Up</t>
  </si>
  <si>
    <t>Start of Turn: You get +1 Sun this turn.</t>
  </si>
  <si>
    <t>"Not to brag, but I'm pretty much your basic franchise-founding superstar."</t>
  </si>
  <si>
    <t>Mixed Nuts</t>
  </si>
  <si>
    <t>Mix de Nozes</t>
  </si>
  <si>
    <t>When played: This gets +2 Strength/+2 Heart if there's a Plant with Team-Up here.</t>
  </si>
  <si>
    <t>They work hard but they also like to party. That's them in a nutshell.</t>
  </si>
  <si>
    <t>Destroy a Zombie.</t>
  </si>
  <si>
    <t>Has a bad case of Resting Squash Face.</t>
  </si>
  <si>
    <t>Smashing Pumpkin</t>
  </si>
  <si>
    <t>Aboboranta</t>
  </si>
  <si>
    <t>Sure, he and Squash are pals. But there's always an undercurrent of competition between them.</t>
  </si>
  <si>
    <t>Small-Nut</t>
  </si>
  <si>
    <t>Nozinha</t>
  </si>
  <si>
    <t>Guardian</t>
  </si>
  <si>
    <t>A violin virtuoso, Small-Nut began taking lessons when he was still in the shell.</t>
  </si>
  <si>
    <t>Sting Bean</t>
  </si>
  <si>
    <t>Amphibious
Bullseye</t>
  </si>
  <si>
    <t>"I try to warn them, "This is going to sting." But the Zombies, they never listen."</t>
  </si>
  <si>
    <t>Wall-Nut</t>
  </si>
  <si>
    <t>Noz-Obstáculo</t>
  </si>
  <si>
    <t>Works well with others. Says so, right there on his resume.</t>
  </si>
  <si>
    <t>Pismashio</t>
  </si>
  <si>
    <t>Pistachato</t>
  </si>
  <si>
    <t>"I'm a kind of ice cream! Sort of!"</t>
  </si>
  <si>
    <t>Spineapple</t>
  </si>
  <si>
    <t>Espartacaxi</t>
  </si>
  <si>
    <t>When played: Plants with no Strength get +2 Strength.</t>
  </si>
  <si>
    <t>Don't let his gruff exterior fool you, he is always looking out for the little guy.</t>
  </si>
  <si>
    <t>Button Mushroom</t>
  </si>
  <si>
    <t>Portobella</t>
  </si>
  <si>
    <t>Kabloom</t>
  </si>
  <si>
    <t>Everyone's always telling her, "You're cute as a button!" But she's not just cute. She's smart and funny too.</t>
  </si>
  <si>
    <t>Barry Blast</t>
  </si>
  <si>
    <t>Frutinha C4</t>
  </si>
  <si>
    <t>Do 3 damage.</t>
  </si>
  <si>
    <t>Vicious AND nutritious.</t>
  </si>
  <si>
    <t>Buff-Shroom</t>
  </si>
  <si>
    <t>Cogumelhor</t>
  </si>
  <si>
    <t>When played: All Mushrooms get +1 Strength/+1 Heart.</t>
  </si>
  <si>
    <t>You might know him from his wildly popular series of workout videos called "30 Days to a Buff-Shroom Body."</t>
  </si>
  <si>
    <t>Seedling</t>
  </si>
  <si>
    <t>Sementinha</t>
  </si>
  <si>
    <t>Seed</t>
  </si>
  <si>
    <t>Start of Turn: This transforms into a random Plant that costs 6 Sun or less.</t>
  </si>
  <si>
    <t>t's the tiny seed of a... nobody actually knows.</t>
  </si>
  <si>
    <t>Zapricot</t>
  </si>
  <si>
    <t>Damascarrasco</t>
  </si>
  <si>
    <t>"Some say that Zombies aren't easily shocked. I beg to differ."</t>
  </si>
  <si>
    <t>Snowdrop</t>
  </si>
  <si>
    <t>Gota de Neve</t>
  </si>
  <si>
    <t>Smarty</t>
  </si>
  <si>
    <t>This gets +2 Strength/+2 Heart when a Zombie is frozen.</t>
  </si>
  <si>
    <t>Zombies are always looking at her with a frozen expression.</t>
  </si>
  <si>
    <t>Weenie Beanie</t>
  </si>
  <si>
    <t>Feijãozinho</t>
  </si>
  <si>
    <t>Prefers to be called "Vertically Challenged Beanie."</t>
  </si>
  <si>
    <t>When this hurts a Zombie, PvZH Frozen that Zombie.</t>
  </si>
  <si>
    <t>Learned everything he knows during the Great Freeze Tag Wars of '08.</t>
  </si>
  <si>
    <t>Typha</t>
  </si>
  <si>
    <t>Animal</t>
  </si>
  <si>
    <t>Amphibious</t>
  </si>
  <si>
    <t>"My secret weapon? It's my cute little hat!"</t>
  </si>
  <si>
    <t>Smoosh-Shroom</t>
  </si>
  <si>
    <t>Cogumelado</t>
  </si>
  <si>
    <t>"If I had a hammer... Wait a sec... I AM a hammer!"</t>
  </si>
  <si>
    <t>Triplervilha</t>
  </si>
  <si>
    <t>Attacks here and next door.</t>
  </si>
  <si>
    <t>"My favorite number is 5."</t>
  </si>
  <si>
    <t>Repolho-Boxeador</t>
  </si>
  <si>
    <t>When played: This gets +1 Strength this turn.</t>
  </si>
  <si>
    <t>Little known fact: He used to have two teeth.</t>
  </si>
  <si>
    <t>Start of Turn: This gets +1 Strength/+1 Heart.</t>
  </si>
  <si>
    <t>Sometimes they squabble, but they usually get along like five peas in a pod.</t>
  </si>
  <si>
    <t>Batata-doce</t>
  </si>
  <si>
    <t>When played: Move a Zombie to this lane.</t>
  </si>
  <si>
    <t>Loves unicorns and rainbows... and watching cats on the Internet.</t>
  </si>
  <si>
    <t>Disparervilha de Fogo</t>
  </si>
  <si>
    <t>"Is it getting hot in here or is it just me?"</t>
  </si>
  <si>
    <t>Skyshooter</t>
  </si>
  <si>
    <t>Pilotervilha</t>
  </si>
  <si>
    <t>When played on Heights: This gets +2 Strength/+2 Heart.</t>
  </si>
  <si>
    <t>The youngest Peashooter ever to earn a pilot's license. Also the only Peashooter ever to earn a pilot's license.</t>
  </si>
  <si>
    <t>Glória Solar</t>
  </si>
  <si>
    <t>When played: This gets +1 StrengthPvZH/+1 HeartPvZH if you made at least 6 SunPvZH this turn.</t>
  </si>
  <si>
    <t>Just don't talk to her before she's had her Coffee Bean.</t>
  </si>
  <si>
    <t>Fume-Shroom</t>
  </si>
  <si>
    <t>Strikethrough</t>
  </si>
  <si>
    <t>"I'm like the wind. Near a hog farm."</t>
  </si>
  <si>
    <t>Pepper M.D.</t>
  </si>
  <si>
    <t>Doutor Pimentão</t>
  </si>
  <si>
    <t>This gets +2StrengthPvZH/+2HeartPvZH when a Plant or your Hero is healed.</t>
  </si>
  <si>
    <t>"A toast to your health... and mine!"</t>
  </si>
  <si>
    <t>Water Ballons</t>
  </si>
  <si>
    <t>Balões de àgua</t>
  </si>
  <si>
    <t>A Zombie gets -1StrengthPvZH/-1HeartPvZH. If you made at least 6SunPvZH this turn, it gets -2StrengthPvZH/-2HeartPvZH instead.</t>
  </si>
  <si>
    <t>You're gonna need a towel for this one.</t>
  </si>
  <si>
    <t>Venus Flytrap</t>
  </si>
  <si>
    <t>Dioneia</t>
  </si>
  <si>
    <t>Flytrap</t>
  </si>
  <si>
    <t>When this does damage, heal your Hero for that much.</t>
  </si>
  <si>
    <t>"Mom always said, 'If you leave your trap open like that, you'll catch Zombies.' So I did."</t>
  </si>
  <si>
    <t>"Magnets? Gravity? Crikey, I don't have a clue why they come back."</t>
  </si>
  <si>
    <t>Metal Petal Sunflower</t>
  </si>
  <si>
    <t>Girassol Metálico</t>
  </si>
  <si>
    <t>Start of Turn: You gain +1SunPvZH this turn.</t>
  </si>
  <si>
    <t>"Time to put the metal to the petal, baby!"</t>
  </si>
  <si>
    <t>Batatamina</t>
  </si>
  <si>
    <t>When destroyed: Do 2 damage to a Zombie here.</t>
  </si>
  <si>
    <t>"I'm starchy and explosive!"</t>
  </si>
  <si>
    <t>"It's true. I'm prickly on the outside but spongy on the inside."</t>
  </si>
  <si>
    <t>Gardening Gloves</t>
  </si>
  <si>
    <t>Luvas de Jardinagem</t>
  </si>
  <si>
    <t>Bullseye</t>
  </si>
  <si>
    <t>Move a Plant.
Draw a card.</t>
  </si>
  <si>
    <t>Made of the softest fabric for that gentle Plant touch.</t>
  </si>
  <si>
    <t>Sea-Shroom</t>
  </si>
  <si>
    <t>Amphibiou</t>
  </si>
  <si>
    <t>Teaches swimming lessons to disadvantaged Plants in his spare time.</t>
  </si>
  <si>
    <t>Water Chestnut</t>
  </si>
  <si>
    <t>Castanhaquática</t>
  </si>
  <si>
    <t>Amphibious
Team-Up</t>
  </si>
  <si>
    <t>"300 laps a day, every day. That's how I do it."</t>
  </si>
  <si>
    <t>Pea-Nut</t>
  </si>
  <si>
    <t>"Mom was a Peashooter. Dad was a nut. Everyone said it wouldn't work, but they were wrong."</t>
  </si>
  <si>
    <t>Steel Magnolia</t>
  </si>
  <si>
    <t>Magnólia de Aço</t>
  </si>
  <si>
    <t>When played: Plants here and next door get +2HeartPvZH.</t>
  </si>
  <si>
    <t>She's got nerves of steel... and everything else of steel!</t>
  </si>
  <si>
    <t>Poison Mushroom</t>
  </si>
  <si>
    <t>Toxicogumelo</t>
  </si>
  <si>
    <t>Anti-Hero 2</t>
  </si>
  <si>
    <t>"Zombie Heroes. Don't like 'em. Not one bit. Don't care who knows it, either."</t>
  </si>
  <si>
    <t>Berry Angry</t>
  </si>
  <si>
    <t>Frutinhirada</t>
  </si>
  <si>
    <t>All Plants get +2StrengthPvZH.</t>
  </si>
  <si>
    <t>"Now you've done it! That's the last straw! I'm gonna berry you!"</t>
  </si>
  <si>
    <t>Mushroom Ringleader</t>
  </si>
  <si>
    <t>Cogumelíder</t>
  </si>
  <si>
    <t>When played: This gets +2StrengthPvZH for each other Plant.</t>
  </si>
  <si>
    <t>Leadership comes with a lot of responsibility, but he knew what he signed up for.</t>
  </si>
  <si>
    <t>Poison Ivy</t>
  </si>
  <si>
    <t>Hera Venenosa</t>
  </si>
  <si>
    <t>Anti-Hero 4</t>
  </si>
  <si>
    <t>"Guess who's itching for a fight? This guy right here!"</t>
  </si>
  <si>
    <t>Pair of Pears</t>
  </si>
  <si>
    <t>Par de Peras</t>
  </si>
  <si>
    <t>When played: Make a Pear Pal here.</t>
  </si>
  <si>
    <t>It's cute how they're always completing each other's sentences.</t>
  </si>
  <si>
    <t>Bluesberry</t>
  </si>
  <si>
    <t>Mirtilartista</t>
  </si>
  <si>
    <t>When played: Do 2 damage.</t>
  </si>
  <si>
    <t>Loves to make Zombies sing the blues.</t>
  </si>
  <si>
    <t>Sizzle</t>
  </si>
  <si>
    <t>Chiado</t>
  </si>
  <si>
    <t>Do 5 damage to a Zombie.</t>
  </si>
  <si>
    <t>Incredibly hot and full of electricity. So much ouch.</t>
  </si>
  <si>
    <t>Alfaiceberg</t>
  </si>
  <si>
    <t>Freeze a Zombie.</t>
  </si>
  <si>
    <t>"FREEZE! Ha, just kidding. Little Iceberg humor there."</t>
  </si>
  <si>
    <t>Shellery</t>
  </si>
  <si>
    <t>Canhaipo</t>
  </si>
  <si>
    <t>Ordinance is most effective with peanut butter and raisins.</t>
  </si>
  <si>
    <t>Rescue Radish</t>
  </si>
  <si>
    <t>Salvanete</t>
  </si>
  <si>
    <t>When played: Bounce another Plant.</t>
  </si>
  <si>
    <t>He puts the rad in radish</t>
  </si>
  <si>
    <t>Bounce a Zombie.</t>
  </si>
  <si>
    <t>His favorite season is Fall.</t>
  </si>
  <si>
    <t>Vanilla</t>
  </si>
  <si>
    <t>"I'm sorry, it's just... I have nothing interesting to say."</t>
  </si>
  <si>
    <t>Cenourarmada</t>
  </si>
  <si>
    <t>His artillery is a rich source of vitamin A and beta-carotene - a fact the Zombies do not seem to appreciate.</t>
  </si>
  <si>
    <t>Vegetation Mutation</t>
  </si>
  <si>
    <t>Mutação da Vegetação</t>
  </si>
  <si>
    <t>All Plants on Heights and Environments get +2StrengthPvZH/+2HeartPvZH.</t>
  </si>
  <si>
    <t>Environmentalism at its finest.</t>
  </si>
  <si>
    <t>Galactic</t>
  </si>
  <si>
    <t>ombies may only have four teeth left, but one of them's a sweet tooth.</t>
  </si>
  <si>
    <t>Coffee Grounds</t>
  </si>
  <si>
    <t>Campos de Café</t>
  </si>
  <si>
    <t>Environment</t>
  </si>
  <si>
    <t>Plants here get DoubleStrikeAltDouble Strike.</t>
  </si>
  <si>
    <t>Nothing wakes you up in the morning like extra attacks on zombies. Well OK, coffee does.</t>
  </si>
  <si>
    <t>Cosmoss</t>
  </si>
  <si>
    <t>Cosmusgo</t>
  </si>
  <si>
    <t>Moss</t>
  </si>
  <si>
    <t>When an Environment is played, this gets +1StrengthPvZH/+1HeartPvZH.</t>
  </si>
  <si>
    <t>He's Peel deGrass Lichen's biggest fan.</t>
  </si>
  <si>
    <t>Apple-Saucer</t>
  </si>
  <si>
    <t>MaVNI</t>
  </si>
  <si>
    <t>When played: If you made at least 6SunPvZH this turn, this gets Strikethrough.</t>
  </si>
  <si>
    <t>Watchful Quasar Wizards sometimes spot an Unidentified Fruiting Object.</t>
  </si>
  <si>
    <t>Venus Flytraplanet</t>
  </si>
  <si>
    <t>Planeta Dioneia</t>
  </si>
  <si>
    <t>When a Plant here does damage and survives, heal your Hero for that much.</t>
  </si>
  <si>
    <t>Not far from Mars Flytraplanet.</t>
  </si>
  <si>
    <t>Photosynthesizer</t>
  </si>
  <si>
    <t>Fotossintetizador</t>
  </si>
  <si>
    <t>A Plant gets +2HeartPvZH.
Conjure a Galactic Gardens card.</t>
  </si>
  <si>
    <t>"The galaxy is one beautiful melody, so play!"</t>
  </si>
  <si>
    <t>Spikeweed Sector</t>
  </si>
  <si>
    <t>Setor Erva-espinho</t>
  </si>
  <si>
    <t>Before combat here: Do 2 damage to a Zombie here.</t>
  </si>
  <si>
    <t>Quite similar to the region known as Pokey Province.</t>
  </si>
  <si>
    <t>Plampião</t>
  </si>
  <si>
    <t>While in an Environment: This gets +1StrengthPvZH/+1HeartPvZH and Bullseye.</t>
  </si>
  <si>
    <t>Past job experience includes: Shooing away creepy fog.</t>
  </si>
  <si>
    <t>Banana Bomb</t>
  </si>
  <si>
    <t>Bombanana</t>
  </si>
  <si>
    <t>Banana</t>
  </si>
  <si>
    <t>Do 2 damage to a Zombie.</t>
  </si>
  <si>
    <t>Beware fruity vengeance from above.</t>
  </si>
  <si>
    <t>Invasive Species</t>
  </si>
  <si>
    <t>Espécie Invasora</t>
  </si>
  <si>
    <t>While in an Environment: This gets +3StrengthPvZH</t>
  </si>
  <si>
    <t>"Call me a 'weed.' Go on. I consider it a compliment."</t>
  </si>
  <si>
    <t>Mushroom Grotto</t>
  </si>
  <si>
    <t>Gruta de Cogumelos</t>
  </si>
  <si>
    <t>When you play a Plant here, make a Puff-Shroom in another random lane.</t>
  </si>
  <si>
    <t>Sometimes beautiful things grow out of the darkest places. Ponder that for a few moments.</t>
  </si>
  <si>
    <t>Mars Flytrap</t>
  </si>
  <si>
    <t>Marte Papa-mosca</t>
  </si>
  <si>
    <t>When this hurts the Zombie Hero, steal a section from their Super-Block Meter.</t>
  </si>
  <si>
    <t>He loves Venus Flytrap, but sometimes they see things SO differently!</t>
  </si>
  <si>
    <t>Planet of the Grapes</t>
  </si>
  <si>
    <t>Planeta das Uvas</t>
  </si>
  <si>
    <t>When a Plant here hurts the Zombie Hero, draw a card.</t>
  </si>
  <si>
    <t>How this planet came to be? It's another of life's grape mysteries.</t>
  </si>
  <si>
    <t>Leaf Blower</t>
  </si>
  <si>
    <t>Soprador de Folha</t>
  </si>
  <si>
    <t>When played in an Environment: Bounce a Zombie.</t>
  </si>
  <si>
    <t>"You wanna keep your lawn tidy? Tired of lookin' at those unsightly Zombies? Then I'M your guy."</t>
  </si>
  <si>
    <t>Other Plants here and next door are UntrickableAltBigUntrickable.</t>
  </si>
  <si>
    <t>She's not very fond of getting wet.</t>
  </si>
  <si>
    <t>Colossal</t>
  </si>
  <si>
    <t>Kernel-Pult</t>
  </si>
  <si>
    <t>Milhopulta</t>
  </si>
  <si>
    <t>Corn</t>
  </si>
  <si>
    <t>When played on Heights: A Zombie gets -1StrengthPvZH/-1HeartPvZH.</t>
  </si>
  <si>
    <t>Insert corny joke here.</t>
  </si>
  <si>
    <t>Grape Responsibility</t>
  </si>
  <si>
    <t>Cacho de Responsabilidades</t>
  </si>
  <si>
    <t>Double a Plant's HeartPvZH.</t>
  </si>
  <si>
    <t>When you think of responsibility, think of grapes.</t>
  </si>
  <si>
    <t>Batatamina Primitiva</t>
  </si>
  <si>
    <t>When destroyed: Do 3 damage to a Zombie here.</t>
  </si>
  <si>
    <t>Hidden long ago in Hollow Earth, Dinosaurs ran rampant in The Land Before Mine.</t>
  </si>
  <si>
    <t>Puff-Shroom</t>
  </si>
  <si>
    <t>He huffs and puffs and, occasionally, blows a Zombie down.</t>
  </si>
  <si>
    <t>Grave Mistake</t>
  </si>
  <si>
    <t>Cavando a Própria Cova</t>
  </si>
  <si>
    <t>Bounce a Gravestone.
Draw a card.</t>
  </si>
  <si>
    <t>Warning: Don't flick gravestones in real life.</t>
  </si>
  <si>
    <t>Pear Pal</t>
  </si>
  <si>
    <t>Peramiga</t>
  </si>
  <si>
    <t>Has codependency issues, but he's working on it.</t>
  </si>
  <si>
    <t>Half-Banana</t>
  </si>
  <si>
    <t>Meia Banana</t>
  </si>
  <si>
    <t>When destroyed: All Bananas in your hand get +1StrengthPvZH/+1HeartPvZH.</t>
  </si>
  <si>
    <t>"Have you met my better half? She's around here somewhere."</t>
  </si>
  <si>
    <t>Triassic</t>
  </si>
  <si>
    <t>Typical Beanstalk</t>
  </si>
  <si>
    <t>Pé de Feijão Básico</t>
  </si>
  <si>
    <t>When played next to a Leafy Plant: Conjure a Leafy card.</t>
  </si>
  <si>
    <t>"Everyone's magic in their own special way. Everyone except me."</t>
  </si>
  <si>
    <t>Lil' Buddy</t>
  </si>
  <si>
    <t>Brotinho</t>
  </si>
  <si>
    <t>When played: Heal your Hero for 2.</t>
  </si>
  <si>
    <t>Wait, you want me to go in *front*?!?</t>
  </si>
  <si>
    <t>Sunnier-Shroom</t>
  </si>
  <si>
    <t>Solãogumelo</t>
  </si>
  <si>
    <t>Start of Turn: You get +2SunPvZH this turn.</t>
  </si>
  <si>
    <t>Compared to his little brother, he's the one with the sunnier disposition.</t>
  </si>
  <si>
    <t>Grizzly Pear</t>
  </si>
  <si>
    <t>Pera Brava</t>
  </si>
  <si>
    <t>It's true what they say, "Never get between a Grizzly Pear and her cub." Doubly true for Zombies.</t>
  </si>
  <si>
    <t>Hot Lava</t>
  </si>
  <si>
    <t>Lava Quente</t>
  </si>
  <si>
    <t>Before combat here: Do 1 damage to each Plant and Zombie here.</t>
  </si>
  <si>
    <t>Lava has no loyalty. It's just hot. It just IS.</t>
  </si>
  <si>
    <t>Veloci-Radish Hatchling</t>
  </si>
  <si>
    <t>Filhote de Nabossauro</t>
  </si>
  <si>
    <t>Dino-Roar: This gets +1StrengthPvZH.</t>
  </si>
  <si>
    <t>The root of all primeval.</t>
  </si>
  <si>
    <t>When this hurts a Zombie, Bounce that Zombie.</t>
  </si>
  <si>
    <t>Found in groups of 3, 5, 7, 11, and 31.</t>
  </si>
  <si>
    <t>The Podfather</t>
  </si>
  <si>
    <t>Vagem Grande</t>
  </si>
  <si>
    <t>When you play another Pea, that Pea gets +2StrengthPvZH/+2HeartPvZH.</t>
  </si>
  <si>
    <t>"It ain't easy keeping the peas in this family."</t>
  </si>
  <si>
    <t>Plant Food</t>
  </si>
  <si>
    <t>Adubo</t>
  </si>
  <si>
    <t>A Plant gets +1StrengthPvZH/+1HeartPvZH then does a Bonus Attack.</t>
  </si>
  <si>
    <t>The most important meal of the day.</t>
  </si>
  <si>
    <t>Re-peat Moss</t>
  </si>
  <si>
    <t>Repiturfeira</t>
  </si>
  <si>
    <t>When you play a Trick, this does a Bonus Attack.</t>
  </si>
  <si>
    <t>"To do what I do... it's TRICKY. I'll leave it at that."</t>
  </si>
  <si>
    <t>Whipvine</t>
  </si>
  <si>
    <t>Alcovideira</t>
  </si>
  <si>
    <t>When played: Move a Zombie.</t>
  </si>
  <si>
    <t>"Get along, little Zombie."</t>
  </si>
  <si>
    <t>Super-Phat Beet</t>
  </si>
  <si>
    <t>Superbeat-Rabas</t>
  </si>
  <si>
    <t>When played: This gets +1StrengthPvZH/+1HeartPvZH for each other Plant and Zombie.</t>
  </si>
  <si>
    <t>When he drops the beet, everyone feels it. Especially the Zombies.</t>
  </si>
  <si>
    <t>Sage Sage</t>
  </si>
  <si>
    <t>Salva Sábia</t>
  </si>
  <si>
    <t>When played: If you made at least 6SunPvZH this turn, draw a card.</t>
  </si>
  <si>
    <t>Got his start writing messages for fortune cookies.</t>
  </si>
  <si>
    <t>Magnifying Grass</t>
  </si>
  <si>
    <t>When played: This gets +1StrengthPvZH for each Sun you made this turn.</t>
  </si>
  <si>
    <t>Zombies may appear closer than they are.</t>
  </si>
  <si>
    <t>Whack-a-Zombie</t>
  </si>
  <si>
    <t>Tiro ao Zumbi</t>
  </si>
  <si>
    <t>Destroy a Zombie with 3StrengthPvZH or less.</t>
  </si>
  <si>
    <t>It's hammer time. #hadtobesaid</t>
  </si>
  <si>
    <t>Lawnmower</t>
  </si>
  <si>
    <t>Cortador de Grama</t>
  </si>
  <si>
    <t>Destroy a Zombie on the Ground.</t>
  </si>
  <si>
    <t>The thing of Zombie nightmares.</t>
  </si>
  <si>
    <t>Power Flower</t>
  </si>
  <si>
    <t>Flor Elétrica</t>
  </si>
  <si>
    <t>Start of Turn: Heal your Hero for 1 for each Flower.</t>
  </si>
  <si>
    <t>Dropped out of Kale University to practice natural medicine.</t>
  </si>
  <si>
    <t>Come-cova</t>
  </si>
  <si>
    <t>Destroy a Gravestone.</t>
  </si>
  <si>
    <t>"MUST. DESTROY. GRAVES."</t>
  </si>
  <si>
    <t>Hibernating Beary</t>
  </si>
  <si>
    <t>Hibernadinho</t>
  </si>
  <si>
    <t>When hurt: This gets +4StrengthPvZH.</t>
  </si>
  <si>
    <t>Don't poke the beary.</t>
  </si>
  <si>
    <t>Prickly Pear</t>
  </si>
  <si>
    <t>Cacto-pera</t>
  </si>
  <si>
    <t>When hurt: Do 4 damage to a Zombie here.</t>
  </si>
  <si>
    <t>"You hurt me, I hurt you. That's how this works."</t>
  </si>
  <si>
    <t>Smackadamia</t>
  </si>
  <si>
    <t>Pancadâmia</t>
  </si>
  <si>
    <t>When played: Your Nuts get +2HeartPvZH.</t>
  </si>
  <si>
    <t>Smackadamia wasn't born with smack smarts. He studied hard. He's a smackademic.</t>
  </si>
  <si>
    <t>Tough Beets</t>
  </si>
  <si>
    <t>Beterraiva</t>
  </si>
  <si>
    <t>Armored 1</t>
  </si>
  <si>
    <t>When played: This gets +1HeartPvZH for each Plant and Zombie.</t>
  </si>
  <si>
    <t>He grew up on the wrong side of the garden.</t>
  </si>
  <si>
    <t>Shroom for Two</t>
  </si>
  <si>
    <t>Dois Cogumelos</t>
  </si>
  <si>
    <t>When played: Make a Puff-Shroom here.</t>
  </si>
  <si>
    <t>Shrooms, bless their hearts, always wanting to cuddle up cuddly-like.</t>
  </si>
  <si>
    <t>Wild Berry</t>
  </si>
  <si>
    <t>Frutinhinsana</t>
  </si>
  <si>
    <t>When played: This moves to a random lane.</t>
  </si>
  <si>
    <t>What one word best describes Wild Berry? "Unpredictable."</t>
  </si>
  <si>
    <t>Petal-Morphosis</t>
  </si>
  <si>
    <t>Plantamorfose</t>
  </si>
  <si>
    <t>Transform a Plant into a random Plant.
Draw a card.</t>
  </si>
  <si>
    <t>For when it's time to turn over a new leaf.</t>
  </si>
  <si>
    <t>Sour Grapes</t>
  </si>
  <si>
    <t>Uvas Azedas</t>
  </si>
  <si>
    <t>When played: Do 1 damage to each Zombie.</t>
  </si>
  <si>
    <t>Sour. Bitter. Resentful. It's all true. But he's got his reasons.</t>
  </si>
  <si>
    <t>Poison Oak</t>
  </si>
  <si>
    <t>Veneneira</t>
  </si>
  <si>
    <t>Anti-Hero 5</t>
  </si>
  <si>
    <t>Gets lunch with Poison Ivy and Poison Mushroom every week. They have a lot to talk about.</t>
  </si>
  <si>
    <t>Admiral Navy Bean</t>
  </si>
  <si>
    <t>Feijão Almirante</t>
  </si>
  <si>
    <t>When you play another Bean, do 2 damage to the Zombie Hero.</t>
  </si>
  <si>
    <t>"Heavy is the weight of my command. And my cap. Heavy is the cap."</t>
  </si>
  <si>
    <t>Junco-relâmpago</t>
  </si>
  <si>
    <t>Amphibious
Splash Damage 1</t>
  </si>
  <si>
    <t>"I do it for the shock value."</t>
  </si>
  <si>
    <t>When played: Freeze a Zombie.</t>
  </si>
  <si>
    <t>"It's not easy being both hot *and* cold. A comfortable lukewarm might be nice for a change."</t>
  </si>
  <si>
    <t>Navy Bean</t>
  </si>
  <si>
    <t>Feijão Marujo</t>
  </si>
  <si>
    <t>When played: All Amphibious Plants get +1StrengthPvZH/+1HeartPvZH.</t>
  </si>
  <si>
    <t>Was *this* close to becoming an Army Bean.</t>
  </si>
  <si>
    <t>Jumping Bean</t>
  </si>
  <si>
    <t>Feijão Saltitante</t>
  </si>
  <si>
    <t>When played: Bounce a Zombie.</t>
  </si>
  <si>
    <t>"I'm more than just a jumper... I can also leap and vault!</t>
  </si>
  <si>
    <t>Banana Peel</t>
  </si>
  <si>
    <t>Casca de Banana</t>
  </si>
  <si>
    <t>Move a Zombie.
Conjure a Fruit.</t>
  </si>
  <si>
    <t>A slapstick comedy staple that, somehow, the Zombies never see coming.</t>
  </si>
  <si>
    <t>Cosmic Pea</t>
  </si>
  <si>
    <t>Ervilha Cósmica</t>
  </si>
  <si>
    <t>When played: Conjure a Pea, and it gets Double Strike.</t>
  </si>
  <si>
    <t>"The cosmos is so big and a pea is so small. The juxtaposition just really makes me think, you know?"</t>
  </si>
  <si>
    <t>Cosmic Flower</t>
  </si>
  <si>
    <t>Flor Cósmica</t>
  </si>
  <si>
    <t>When played: Conjure a Flower, and it gets PvZH Strikethrough IconStrikethrough.</t>
  </si>
  <si>
    <t>She enjoys the simple things in life - hanging out with friends, fighting Zombies, and basking in cosmic rays.</t>
  </si>
  <si>
    <t>Heartichoke</t>
  </si>
  <si>
    <t>Vigorchofra</t>
  </si>
  <si>
    <t>When a Plant or your Hero is healed, do that much damage to the Zombie Hero.</t>
  </si>
  <si>
    <t>She's a sweetheart, she really is. But fighting Zombies...it's made her hard.</t>
  </si>
  <si>
    <t>Cosmic Nut</t>
  </si>
  <si>
    <t>Noz Cósmica</t>
  </si>
  <si>
    <t>When played: Conjure a Nut, and its StrengthPvZH becomes 3StrengthPvZH.</t>
  </si>
  <si>
    <t>A staunch believer in numerology, he'll go on at length about the significance of the number 3 if you let him.</t>
  </si>
  <si>
    <t>Starch-Lord</t>
  </si>
  <si>
    <t>Guardião do Amido</t>
  </si>
  <si>
    <t>When you play another Root, that Root gets +1StrengthPvZH/+1HeartPvZH.
Start of turn: Conjure a Root.</t>
  </si>
  <si>
    <t>His destiny is written in the starch.</t>
  </si>
  <si>
    <t>Cosmic Mushroom</t>
  </si>
  <si>
    <t>Cogumelo Cósmico</t>
  </si>
  <si>
    <t>When played: Conjure a Mushroom, and it gets +2StrengthPvZH.</t>
  </si>
  <si>
    <t>He's far out all right. Like, waaaay far out.</t>
  </si>
  <si>
    <t>Do 2 damage to each Zombie here and next door.
If played on the Ground, make Hot Lava here.</t>
  </si>
  <si>
    <t>"'I try to stay cool, I really do. But Zombies! Man, they make me blow my top!"</t>
  </si>
  <si>
    <t>Cosmic Bean</t>
  </si>
  <si>
    <t>Feijão Cósmico</t>
  </si>
  <si>
    <t>When played: Conjure a Bean, and it gets Team-Up</t>
  </si>
  <si>
    <t>It IS a magical fruit!</t>
  </si>
  <si>
    <t>Melon-Pult</t>
  </si>
  <si>
    <t>Melancipulta</t>
  </si>
  <si>
    <t>Splash Damage 3</t>
  </si>
  <si>
    <t>People who live in grass houses shouldn't throw stones. But melons, sure, why not?</t>
  </si>
  <si>
    <t>Bamboozle</t>
  </si>
  <si>
    <t>Bambaralhar</t>
  </si>
  <si>
    <t>Plant Evolution: Draw two cards.</t>
  </si>
  <si>
    <t>Only among the hyper-evolved Plants of Hollow Earth can you be outwitted by a tree.</t>
  </si>
  <si>
    <t>Elderberry</t>
  </si>
  <si>
    <t>Frutanciã</t>
  </si>
  <si>
    <t>Plant Evolution: This gets +3StrengthPvZH.</t>
  </si>
  <si>
    <t>He makes yelling "Get off my lawn" into an art form.</t>
  </si>
  <si>
    <t>Blockbuster</t>
  </si>
  <si>
    <t>Arrasa-cemitério</t>
  </si>
  <si>
    <t>Plant Evolution: Destroy all Gravestones here and next door.</t>
  </si>
  <si>
    <t>They call it a graveyard. She calls it a buffet.</t>
  </si>
  <si>
    <t>Cro-Magnolia</t>
  </si>
  <si>
    <t>Cro-Magnólia</t>
  </si>
  <si>
    <t>Plant Evolution: Plants here and next door get +2StrengthPvZH.</t>
  </si>
  <si>
    <t>In the secret groves of Hollow Earth, Magnolias evolved to shun steely stoicism, boasting blunt barbarity.</t>
  </si>
  <si>
    <t>Tricorn</t>
  </si>
  <si>
    <t>Trimilhocórnio</t>
  </si>
  <si>
    <t>Attacks here and next door.
Plant Evolution: This gets +2StrengthPvZH.</t>
  </si>
  <si>
    <t>"Labor to keep alive in your breast that little spark of celestial fire called conscience." -Gourd Squashington.</t>
  </si>
  <si>
    <t>Pea Patch</t>
  </si>
  <si>
    <t>Campo de Ervilha</t>
  </si>
  <si>
    <t>Fusion: A Plant played on this gets +2StrengthPvZH/+2HeartPvZH.</t>
  </si>
  <si>
    <t>Don't let the Dog Walker anywhere near it.</t>
  </si>
  <si>
    <t>Eyespore</t>
  </si>
  <si>
    <t>Zoiudo</t>
  </si>
  <si>
    <t>Fusion: Destroy a Zombie here.</t>
  </si>
  <si>
    <t>Really good at staring contests.</t>
  </si>
  <si>
    <t>Pumpkin Shell</t>
  </si>
  <si>
    <t>Moranga</t>
  </si>
  <si>
    <t>Fusion: A Plant played on this gets +2StrengthPvZH/+4HeartPvZH.</t>
  </si>
  <si>
    <t>"Build your house on a solid foundation," they said. "Build your house on pumpkin."</t>
  </si>
  <si>
    <t>Shelf Mushroom</t>
  </si>
  <si>
    <t>Prateleira de Enxofre</t>
  </si>
  <si>
    <t>Fusion: Do 2 damage.</t>
  </si>
  <si>
    <t>Legends of Hollow Earth whisper that if you stack up enough Shelf Mushrooms, you'll eventually reach the Surface World.</t>
  </si>
  <si>
    <t>Vitória-régia</t>
  </si>
  <si>
    <t>Fusion: A Plant played on this gets Amphibious. Conjure a Leafy card.</t>
  </si>
  <si>
    <t>When Neptuna's Triassic Invasion flooded Hollow Earth with vast new oceans, Plants quickly evolved to survive.</t>
  </si>
  <si>
    <t>Party Thyme</t>
  </si>
  <si>
    <t>Festomilho</t>
  </si>
  <si>
    <t>When a Plant does a Bonus Attack, draw a card.</t>
  </si>
  <si>
    <t>A real extrovert, this one.</t>
  </si>
  <si>
    <t>Black-Eyed Pea</t>
  </si>
  <si>
    <t>Feijão-Enfezadinho</t>
  </si>
  <si>
    <t>This gets +1StrengthPvZH/+1HeartPvZH when a Zombie Trick is played.</t>
  </si>
  <si>
    <t>"You shoulda seen the other guy!"</t>
  </si>
  <si>
    <t>Potted Powerhouse</t>
  </si>
  <si>
    <t>Potência Envasada</t>
  </si>
  <si>
    <t>While in your hand: This gets +1StrengthPvZH/+1HeartPvZH when a Plant gains Strength or Health.</t>
  </si>
  <si>
    <t>She loves living out of a pot. It's not for every Plant. But to her, it's home.</t>
  </si>
  <si>
    <t>Espresso Fiesta</t>
  </si>
  <si>
    <t>A Plant does three Bonus Attacks.</t>
  </si>
  <si>
    <t>Don't consume after 5 p.m. You'll be up all night.</t>
  </si>
  <si>
    <t>Girassóis Gêmeos</t>
  </si>
  <si>
    <t>"We're actually only fraternal twins."</t>
  </si>
  <si>
    <t>2nd-Best Taco of All Time</t>
  </si>
  <si>
    <t>2º Melhor Taco do Mundo</t>
  </si>
  <si>
    <t>Heal 4.
Draw a card.</t>
  </si>
  <si>
    <t>Significantly better than the 3rd-Best Taco of All Time.</t>
  </si>
  <si>
    <t>When played: Destroy a Zombie here with 3StrengthPvZH or less.</t>
  </si>
  <si>
    <t>"A free buffet? How kind! Don't mind if I do!"</t>
  </si>
  <si>
    <t>Laser Bean</t>
  </si>
  <si>
    <t>Feijão Laser</t>
  </si>
  <si>
    <t>"Physics, baby! I'm emittin' all KINDS of coherent radiation!"</t>
  </si>
  <si>
    <t>Jugger-Nut</t>
  </si>
  <si>
    <t>Supernoz</t>
  </si>
  <si>
    <t>Armored 1
Bullseye</t>
  </si>
  <si>
    <t>What's better than a Wall-Nut? A Wall-Nut in a suit of armor, that's what.</t>
  </si>
  <si>
    <t>When destroyed: Do 4 damage to a Zombie here.</t>
  </si>
  <si>
    <t>"Technically I'm a food, not a Plant."</t>
  </si>
  <si>
    <t>Mirror-Nut</t>
  </si>
  <si>
    <t>Noz Espelhada</t>
  </si>
  <si>
    <t>When your Nuts get hurt, do 2 damage to the Zombie Hero.</t>
  </si>
  <si>
    <t>Dressed up as a mirrorball for a disco-themed party. Never looked back.</t>
  </si>
  <si>
    <t>Doom-Shroom</t>
  </si>
  <si>
    <t>Destroy all Plants and Zombies with 4StrengthPvZH or more.</t>
  </si>
  <si>
    <t>"I could destroy everything you hold dear. It wouldn't be hard."</t>
  </si>
  <si>
    <t>Punish-Shroom</t>
  </si>
  <si>
    <t>Punigumelo</t>
  </si>
  <si>
    <t>When a Mushroom is destroyed, do 2 damage to a random Zombie or Zombie Hero.</t>
  </si>
  <si>
    <t>Believes revenge is best served. Period.</t>
  </si>
  <si>
    <t>Sergeant Strongberry</t>
  </si>
  <si>
    <t>Sargento Frutástico</t>
  </si>
  <si>
    <t>When another Berry hurts a Zombie or Zombie Hero, Sergeant Strongberry does 2 more damage to it.</t>
  </si>
  <si>
    <t>He's intense, sure. But he just wants the berries to be all they can be.</t>
  </si>
  <si>
    <t>Cerejas-bomba</t>
  </si>
  <si>
    <t>Do 4 damage to each Zombie here and next door.</t>
  </si>
  <si>
    <t>Explode? Detonate? ... Explodonate!</t>
  </si>
  <si>
    <t>Grapes of Wrath</t>
  </si>
  <si>
    <t>Sementes da Fúria</t>
  </si>
  <si>
    <t>When destroyed: Do 6 damage to the Zombie Hero.</t>
  </si>
  <si>
    <t>"Everyone's always asking, 'Why so angry?' Because ZOMBIES! Sheesh. Obviously."</t>
  </si>
  <si>
    <t>Sow Magic Beans</t>
  </si>
  <si>
    <t>Plantar Feijões Mágicos</t>
  </si>
  <si>
    <t>Shuffle four Magic Beanstalks into your deck.</t>
  </si>
  <si>
    <t>Totally worth the cow.</t>
  </si>
  <si>
    <t>Bean Counter</t>
  </si>
  <si>
    <t>Contador de Feijão</t>
  </si>
  <si>
    <t>This gets +1StrengthPvZH/+1HeartPvZH when you play another Bean.
When played: Gain two Weenie Beanies.</t>
  </si>
  <si>
    <t>"Every bean is accounted for. I assure you, they all add up."</t>
  </si>
  <si>
    <t>Dragon</t>
  </si>
  <si>
    <t>"I'm a dragon; I'm a Plant... I'm a mystery!"</t>
  </si>
  <si>
    <t>Winter Squash</t>
  </si>
  <si>
    <t>Aboborinvernal</t>
  </si>
  <si>
    <t>When a Zombie or Gravestone becomes frozen, destroy it.</t>
  </si>
  <si>
    <t>"My complexion is more of a summer."</t>
  </si>
  <si>
    <t>Moonbean</t>
  </si>
  <si>
    <t>Feijão-Luar</t>
  </si>
  <si>
    <t>When this does damage, shuffle two Magic Beanstalks into your deck.</t>
  </si>
  <si>
    <t>She and Sunflower are besties. It's just too bad their schedules make it hard for them to get together.</t>
  </si>
  <si>
    <t>The Red Plant-It</t>
  </si>
  <si>
    <t>O Planeta Vermelho</t>
  </si>
  <si>
    <t>Plants here get +5StrengthPvZH/+5HeartPvZH.</t>
  </si>
  <si>
    <t>It may seem an inhospitable place for Plants, but with a little TLC and some patience, it'll grow more than just potatoes. Much more.</t>
  </si>
  <si>
    <t>Pod Fighter</t>
  </si>
  <si>
    <t>Vagem Lutadora</t>
  </si>
  <si>
    <t>This does a Bonus Attack when you play a Plant here or next door.</t>
  </si>
  <si>
    <t>They're just trying to create peas in our time.</t>
  </si>
  <si>
    <t>Solar Winds</t>
  </si>
  <si>
    <t>Ventos Solares</t>
  </si>
  <si>
    <t>End of Turn: If there are no Zombies here, make a Sunflower here.</t>
  </si>
  <si>
    <t>There's something in the wind. Sunflower seeds, in fact.</t>
  </si>
  <si>
    <t>Wing-Nut</t>
  </si>
  <si>
    <t>Noz-Conspiróloga</t>
  </si>
  <si>
    <t>Zombies can't do Bonus Attacks.</t>
  </si>
  <si>
    <t>Firmly believes that Elvis is alive, Zombies never walked on the Moon, and that Dr. Zomboss is secretly studying aliens at Area 22. Crazy!</t>
  </si>
  <si>
    <t>Tactical Cuke</t>
  </si>
  <si>
    <t>Pepinuclear</t>
  </si>
  <si>
    <t>Destroy all Plants and Zombies on the Ground.</t>
  </si>
  <si>
    <t>He comes from a long line of very precise cucumbers.</t>
  </si>
  <si>
    <t>Galacta-Cactus</t>
  </si>
  <si>
    <t>Gacactus</t>
  </si>
  <si>
    <t>When destroyed: Do 1 damage to everything.</t>
  </si>
  <si>
    <t>"I take pity on no one. For I am Galacta-Cactus!"</t>
  </si>
  <si>
    <t>Force Field</t>
  </si>
  <si>
    <t>Campo de Força</t>
  </si>
  <si>
    <t>Plants here can't be hurt.</t>
  </si>
  <si>
    <t>It's a force of nature.</t>
  </si>
  <si>
    <t>Gravitree</t>
  </si>
  <si>
    <t>Gravidárvore</t>
  </si>
  <si>
    <t>When a Zombie is played, move it here.</t>
  </si>
  <si>
    <t>The apple doesn't fall far from the tree. Neither does anything else.</t>
  </si>
  <si>
    <t>Astro-Shroom</t>
  </si>
  <si>
    <t>Astrogumelo</t>
  </si>
  <si>
    <t>When you play another Plant, do 1 damage to the Zombie Hero.</t>
  </si>
  <si>
    <t>He's had good meetings with a lot of smaller asteroids. They really made an impression.</t>
  </si>
  <si>
    <t>Start of turn: Gain a Banana Bomb.</t>
  </si>
  <si>
    <t>He only knows one word. But it's a good one.</t>
  </si>
  <si>
    <t>Pair Pearadise</t>
  </si>
  <si>
    <t>Peraíso dos Pares</t>
  </si>
  <si>
    <t>When you play a Plant here, make a copy of that Plant with Team-Up here.</t>
  </si>
  <si>
    <t>Peter Piper's Planet precociously picked a pair of pickled peppered pairs.</t>
  </si>
  <si>
    <t>Laser Cattail</t>
  </si>
  <si>
    <t>Typha Laser</t>
  </si>
  <si>
    <t>This gets +1StrengthPvZH/+1HeartPvZH when you play a Plant here.</t>
  </si>
  <si>
    <t>He's really good at entertaining himself.</t>
  </si>
  <si>
    <t>Cool Bean</t>
  </si>
  <si>
    <t>Feijão Gelado</t>
  </si>
  <si>
    <t>When played: PvZH Frozen IconFreeze all Gravestones.</t>
  </si>
  <si>
    <t>"Chance of meeting Gravestones? Never tell me the odds!"</t>
  </si>
  <si>
    <t>Bog of Enlightenment</t>
  </si>
  <si>
    <t>Charco da Iluminação</t>
  </si>
  <si>
    <t>Amphibious Plants here get +2StrengthPvZH. Non-Amphibious Zombies here get -2StrengthPvZH.</t>
  </si>
  <si>
    <t>Good for Plants, it is. Good for Zombies, it is not!</t>
  </si>
  <si>
    <t>Bidisparervilha</t>
  </si>
  <si>
    <t>Before combat here: This does 1 damage to the Plant Hero.</t>
  </si>
  <si>
    <t>"All I wanted in life was to get ahead. But it kinda grew on me. How to face the future? I'm of two minds."</t>
  </si>
  <si>
    <t>Grape Power</t>
  </si>
  <si>
    <t>Cacho de Poderes</t>
  </si>
  <si>
    <t>Double a Plant's StrengthPvZH.
Gain a Grape Responsibility.</t>
  </si>
  <si>
    <t>A dinosaur's favorite primordial snack.</t>
  </si>
  <si>
    <t>Start of turn: You get +1SunPvZH.</t>
  </si>
  <si>
    <t>Sunflowers are notorious pacifists. But isolated in the center of Hollow Earth, they evolved a new savagery. Sunny, adorable savagery.</t>
  </si>
  <si>
    <t>Sunflower Seed</t>
  </si>
  <si>
    <t>Semente de Girassol</t>
  </si>
  <si>
    <t>When destroyed: Make a Sunflower here.</t>
  </si>
  <si>
    <t>From every night's end comes the beginning of a new Sunflower's dawn.</t>
  </si>
  <si>
    <t>Three-Nut</t>
  </si>
  <si>
    <t>Noz Tripla</t>
  </si>
  <si>
    <t>When a Plant is played: That plant's StrengthPvZH becomes 3StrengthPvZH.</t>
  </si>
  <si>
    <t>They say two heads are better than one. Three-Nut just took the next evolutionary step.</t>
  </si>
  <si>
    <t>Fireweed</t>
  </si>
  <si>
    <t>Erva-de-Fogo</t>
  </si>
  <si>
    <t>When played on the Ground: Make Hot Lava here.</t>
  </si>
  <si>
    <t>Don't touch the floor. The floor is lava.</t>
  </si>
  <si>
    <t>Mime</t>
  </si>
  <si>
    <t>When you play a Plant, this transforms into a copy of that Plant.</t>
  </si>
  <si>
    <t>When asked the secret to fighting zombies, Imitater replied: "...." Truly a master of his craft.</t>
  </si>
  <si>
    <t>Jelly Bean</t>
  </si>
  <si>
    <t>Jujuba</t>
  </si>
  <si>
    <t>This gets +1StrengthPvZH/+1HeartPvZH when anything is bounced.
Bean Evolution: Bounce a Zombie.</t>
  </si>
  <si>
    <t>"It's not how hard the Zombies knock you down. It's how hard you bounce back."</t>
  </si>
  <si>
    <t>Savage Spinach</t>
  </si>
  <si>
    <t>Espinafre Selvagem</t>
  </si>
  <si>
    <t>Leafy Evolution: All Plants in all lanes and your hand get +2StrengthPvZH.</t>
  </si>
  <si>
    <t>Neptuna planned her Triassic Invasion perfectly. But like so many conquerors before her, she underestimated the Spinach.</t>
  </si>
  <si>
    <t>Sun Strike</t>
  </si>
  <si>
    <t>Golpe Solar</t>
  </si>
  <si>
    <t>Conjure a Flower. Conjure a Fruit. They both cost 1SunPvZH less.</t>
  </si>
  <si>
    <t>Each Plant is grown with the power of solar radiation. Sometimes you just have to let it out.</t>
  </si>
  <si>
    <t>Primal Wall-Nut</t>
  </si>
  <si>
    <t>Noz-obstáculo Primitiva</t>
  </si>
  <si>
    <t>Team-Up
Untrickable</t>
  </si>
  <si>
    <t>When played: Conjure a card that costs 4SunPvZH or more.</t>
  </si>
  <si>
    <t>You can't be destroyed by a Rolling Stone when you basically are a Rolling Stone</t>
  </si>
  <si>
    <t>Marine Bean</t>
  </si>
  <si>
    <t>Feijão Marinho</t>
  </si>
  <si>
    <t>When played: This gets +1StrengthPvZH/+1HeartPvZH for each other Amphibious Plant.</t>
  </si>
  <si>
    <t>Of course beans evolved gills. How else would they breathe underwater?</t>
  </si>
  <si>
    <t>Strawberrian</t>
  </si>
  <si>
    <t>Morangaceiro</t>
  </si>
  <si>
    <t>When you play a Berry, do 1 damage to Zombies next door. Berry Evolution: Gain a Berry Blast.</t>
  </si>
  <si>
    <t>When it's time to fight, he gets pretty juiced.</t>
  </si>
  <si>
    <t>This attacks both lanes next door instead of this lane.</t>
  </si>
  <si>
    <t>Without flying roots, how would we get Sky-Trees??</t>
  </si>
  <si>
    <t>A Zombie and Zombies next door get -2StrengthPvZH. Then destroy any of those Zombies that have 0StrengthPvZH.</t>
  </si>
  <si>
    <t>Is she cute or terrifying? Yes.</t>
  </si>
  <si>
    <t>Double Mint</t>
  </si>
  <si>
    <t>Adubo Duplo</t>
  </si>
  <si>
    <t>Start of Turn: Double this Plant's Strength and Health.</t>
  </si>
  <si>
    <t>He'll grow on you. Just give him time.</t>
  </si>
  <si>
    <t>Muscle Sprout</t>
  </si>
  <si>
    <t>Brotão</t>
  </si>
  <si>
    <t>This gets +1StrengthPvZH/+1HeartPvZH when you play another Plant.</t>
  </si>
  <si>
    <t>"Can you spot me, bro?"</t>
  </si>
  <si>
    <t>Bananasaurus Rex</t>
  </si>
  <si>
    <t>Bananossauro Rex</t>
  </si>
  <si>
    <t>Dino-Roar: This gets +1StrengthPvZH/+1HeartPvZH.</t>
  </si>
  <si>
    <t>She's a banana first and a dinosaur second. But it's a close second.</t>
  </si>
  <si>
    <t>Briar Rose</t>
  </si>
  <si>
    <t>Rosa Espinhosa</t>
  </si>
  <si>
    <t>When a Zombie hurts a Flower, destroy that Zombie.</t>
  </si>
  <si>
    <t>"You mess with the rose, you get the thorns!"</t>
  </si>
  <si>
    <t>Three-Headed Chomper</t>
  </si>
  <si>
    <t>Carnívora Tricéfala</t>
  </si>
  <si>
    <t>End of Turn: Destroy all Zombies here and next door.</t>
  </si>
  <si>
    <t>"You know the old saying, 'Three heads are better than one'? Totally true."</t>
  </si>
  <si>
    <t>Cornucopia</t>
  </si>
  <si>
    <t>Milhonário</t>
  </si>
  <si>
    <t>When played: Make a random Plant in each other lane</t>
  </si>
  <si>
    <t>Thanksgiving came early this year.</t>
  </si>
  <si>
    <t>Poppin' Poppies</t>
  </si>
  <si>
    <t>Papoulas Papudas</t>
  </si>
  <si>
    <t>When played: Make Lil' Buddies here and next door.</t>
  </si>
  <si>
    <t>Makes friends wherever she goes.</t>
  </si>
  <si>
    <t>Soul Patch</t>
  </si>
  <si>
    <t>Salvador</t>
  </si>
  <si>
    <t>If your Hero would get hurt, this gets hurt instead.</t>
  </si>
  <si>
    <t>Has been gently encouraging Cherry Bomb and Sour Grapes to attend his meditation class.</t>
  </si>
  <si>
    <t>Wall-Nut Bowling</t>
  </si>
  <si>
    <t>Boliche de Noz-obstáculo</t>
  </si>
  <si>
    <t>Make a Wall-Nut in each Ground lane.
Attack for 6 damage in those lanes.</t>
  </si>
  <si>
    <t>Ugly shoes not required!</t>
  </si>
  <si>
    <t>Pineclone</t>
  </si>
  <si>
    <t>Pinha Clonada</t>
  </si>
  <si>
    <t>Pinecone</t>
  </si>
  <si>
    <t>When played: Transform all Plants into Pineclones.</t>
  </si>
  <si>
    <t>It's nothing personal; she just prefers the company of other Pineclones.</t>
  </si>
  <si>
    <t>Dandy Lion King</t>
  </si>
  <si>
    <t>Dente de Rei Leão</t>
  </si>
  <si>
    <t>When played: Damage the Zombie Hero for half their Health.</t>
  </si>
  <si>
    <t>He's developed a taste for Zombie Heroes.</t>
  </si>
  <si>
    <t>Kernel Corn</t>
  </si>
  <si>
    <t>Coronel Milho</t>
  </si>
  <si>
    <t>When played: Do 4 damage to each Zombie.</t>
  </si>
  <si>
    <t>What he lacks in a sense of humor, he makes up with attitude... and dual Cob Busters.</t>
  </si>
  <si>
    <t>Brainana</t>
  </si>
  <si>
    <t>Banamiolos</t>
  </si>
  <si>
    <t>When played: The Zombie Hero loses their Brains.</t>
  </si>
  <si>
    <t>In this case, "brain drain" is a good thing.</t>
  </si>
  <si>
    <t>Gelancia</t>
  </si>
  <si>
    <t>Splash Damage 4</t>
  </si>
  <si>
    <t>When this hurts a Zombie, PvZH Frozen IconFreeze that Zombie.</t>
  </si>
  <si>
    <t>Perfect for your winter picnics.</t>
  </si>
  <si>
    <t>The Great Zucchini</t>
  </si>
  <si>
    <t>O Grande Abobrinha</t>
  </si>
  <si>
    <t>When played: Transform all Zombies into 1StrengthPvZH/1HeartPvZH Zombies with no abilities</t>
  </si>
  <si>
    <t>"Presto change-o! Now you see a powerful Zombie. Now you don't!"</t>
  </si>
  <si>
    <t>Captain Cucumber</t>
  </si>
  <si>
    <t>Capitão Pepino</t>
  </si>
  <si>
    <t>Cards you Conjure cost 1SunPvZH less.
When this does damage, Conjure a Legendary card.</t>
  </si>
  <si>
    <t>He's steered his crew through many a pickle.</t>
  </si>
  <si>
    <t>Orion Rings</t>
  </si>
  <si>
    <t>Anéis de Cebola</t>
  </si>
  <si>
    <t>When played: Each Plant in your hand becomes 4StrengthPvZH/4HeartPvZH.</t>
  </si>
  <si>
    <t>So powerful it makes you cry.</t>
  </si>
  <si>
    <t>Astrocado</t>
  </si>
  <si>
    <t>Astrobacate</t>
  </si>
  <si>
    <t>When destroyed: Gain an Astrocado Pit.</t>
  </si>
  <si>
    <t>"Holy guacamole!"</t>
  </si>
  <si>
    <t>Astro Vera</t>
  </si>
  <si>
    <t>Astrobabosa</t>
  </si>
  <si>
    <t>When played: Increase your Hero's maximum HeartPvZH by 10. Heal your Hero for 10.</t>
  </si>
  <si>
    <t>Your Hero will feel out of this world. And so will your skin.</t>
  </si>
  <si>
    <t>Body-Gourd</t>
  </si>
  <si>
    <t>Cabeça de Cuia</t>
  </si>
  <si>
    <t>Team-Up
Amphibious</t>
  </si>
  <si>
    <t>When played: Fill your Super-Block Meter to full.</t>
  </si>
  <si>
    <t>He moonlights as a decorative center piece during the fall.</t>
  </si>
  <si>
    <t>Pecanolith</t>
  </si>
  <si>
    <t>Pecãnólito</t>
  </si>
  <si>
    <t>All Plants and Zombies attack using their HeartPvZH instead of their StrengthPvZH.</t>
  </si>
  <si>
    <t>No one knows where he came from. He just appeared one day. But everyone who comes in contact with him feels... changed somehow.</t>
  </si>
  <si>
    <t>Reincarnation</t>
  </si>
  <si>
    <t>Reencarnação</t>
  </si>
  <si>
    <t>While in your hand: At end of turn, this transforms into a random Plant with +1StrengthPvZH/+1HeartPvZH. It keeps this ability.</t>
  </si>
  <si>
    <t>"You never know what the next life has in store for you," she says. "So get the most out of this one while you can."</t>
  </si>
  <si>
    <t>Molekale</t>
  </si>
  <si>
    <t>Couvélula</t>
  </si>
  <si>
    <t>When played: Each other Plant transforms into a random Plant that costs 1SunPvZH more.</t>
  </si>
  <si>
    <t>"And you thought spinach made you strong. Please. I am spinach times infinity."</t>
  </si>
  <si>
    <t>Shooting Starfruit</t>
  </si>
  <si>
    <t>Carambola Cadente</t>
  </si>
  <si>
    <t>This attacks in all five lanes.</t>
  </si>
  <si>
    <t>When you see a Shooting Starfruit, make a wish, any wish! Any wish that involves takin' down Zombies, that is.</t>
  </si>
  <si>
    <t xml:space="preserve">Dark Matter Dragonfruit	</t>
  </si>
  <si>
    <t>Pitaia de Matéria Escura</t>
  </si>
  <si>
    <t>Amphibious
Splash Damage 6</t>
  </si>
  <si>
    <t>Zombie Tricks cost 6BrainPvZH more.</t>
  </si>
  <si>
    <t>Their ancestors were hunted to the depths of space. Now their descendants are back for cold, fruity vengeance.</t>
  </si>
  <si>
    <t>Metralhervilha</t>
  </si>
  <si>
    <t>Pea Evolution: This does a Bonus Attack.</t>
  </si>
  <si>
    <t>There is no problem that cannot be solved by more peas.</t>
  </si>
  <si>
    <t>Canhão de Espiga</t>
  </si>
  <si>
    <t>When played: Zombies here and next door get -1StrengthPvZH/-1HeartPvZH.
Team-Up Evolution: Destroy a Zombie.</t>
  </si>
  <si>
    <t>He focuses his fearsome firepower with a single, ringing credo: "One Team. One Dream."</t>
  </si>
  <si>
    <t>Tricarrotops</t>
  </si>
  <si>
    <t>Tricenouratops</t>
  </si>
  <si>
    <t>Beta-Carrotina tracked Huge-Gigantacus all the way down the Meteor-Z-carved tunnel to Hollow Earth. Carrots there had evolved in a very different direction.</t>
  </si>
  <si>
    <t>Gloom-Shroom</t>
  </si>
  <si>
    <t>Goticogumelo</t>
  </si>
  <si>
    <t>Mushroom Evolution: Do 3 damage to Zombies here and next door.</t>
  </si>
  <si>
    <t>Some see him as depressed, but he's got a lot of sides.</t>
  </si>
  <si>
    <t>Lima-Pleurodon</t>
  </si>
  <si>
    <t>Lima-Pleurodonte</t>
  </si>
  <si>
    <t>Dino-Roar: Shuffle a Magic Beanstalk into your deck.</t>
  </si>
  <si>
    <t>Sometimes one Plant provides both the Army and the Navy.</t>
  </si>
  <si>
    <t>Apotatosaurus</t>
  </si>
  <si>
    <t>Batatassauro</t>
  </si>
  <si>
    <t>Untrickable</t>
  </si>
  <si>
    <t>When Played: Conjure a Root.
Dino-Roar: This gets +1StrengthPvZH/+1HeartPvZH.</t>
  </si>
  <si>
    <t>Some potatoes are sweet. Others are dinosaurs.</t>
  </si>
  <si>
    <t>Aloesaurus</t>
  </si>
  <si>
    <t>Babosassauro</t>
  </si>
  <si>
    <t>Dino-Roar: Heal all Plants and the Plant Hero for 1.</t>
  </si>
  <si>
    <t>A roaring force of life. A crushing force of destruction.</t>
  </si>
  <si>
    <t>Loco Coco</t>
  </si>
  <si>
    <t>Coco Loco</t>
  </si>
  <si>
    <t>When played: Make Wall-Nuts next door.
Nut Evolution: All Plants with no StrengthPvZH get +3StrengthPvZH.</t>
  </si>
  <si>
    <t>He crowned himself King of All Hollow Earth. No one had the heart to tell him it was actually a parliamentary democracy.</t>
  </si>
  <si>
    <t>Veloci-Radish Hunter</t>
  </si>
  <si>
    <t>Companheiro Rabanete Veloz</t>
  </si>
  <si>
    <t>When played: Make a copy of this with Team-Up here.
Dino-Roar: This gets +1StrengthPvZH.</t>
  </si>
  <si>
    <t>Dedicated pack hunters, one roars a distraction while the other strikes from the side.</t>
  </si>
  <si>
    <t>Bird of Paradise</t>
  </si>
  <si>
    <t>Ave do Paraíso</t>
  </si>
  <si>
    <t>Start of turn: Conjure a Superpower.</t>
  </si>
  <si>
    <t>Her beautiful melodies are echoed by the roars of dinosaurs.</t>
  </si>
  <si>
    <t>Clique Peas</t>
  </si>
  <si>
    <t>Ervilhas de Panela</t>
  </si>
  <si>
    <t>When played: Shuffle two Clique Peas into your deck. For the rest of the game, all Clique Peas get +1StrengthPvZH/+1HeartPvZH and cost +1SunPvZH.</t>
  </si>
  <si>
    <t>On Wednesdays we wear sunglasses.</t>
  </si>
  <si>
    <t>Event</t>
  </si>
  <si>
    <t>Lily of the Valley</t>
  </si>
  <si>
    <t>Lírio do Vale</t>
  </si>
  <si>
    <t>When you play another Plant on the Heights, that Plant gets +2StrengthPvZH/+2HeartPvZH.</t>
  </si>
  <si>
    <t>She's always trying to elevate her friends. She's good like that.</t>
  </si>
  <si>
    <t>Banana Split</t>
  </si>
  <si>
    <t>When destroyed: Make two Half-Bananas next door.</t>
  </si>
  <si>
    <t>"I don't want to brag, but hanging out in a tub full of ice-cream all day ... not a bad gig if you can get it."</t>
  </si>
  <si>
    <t>Plucky Clover</t>
  </si>
  <si>
    <t>Trevo Corajoso</t>
  </si>
  <si>
    <t>When played: Conjure an Event card. Plucky Clover gets +StrengthPvZH equal to that card's cost.</t>
  </si>
  <si>
    <t>She's a giver, no doubt. But she feels like she gets a lot out of it too.</t>
  </si>
  <si>
    <t>Haunted Pumpking</t>
  </si>
  <si>
    <t>Abóborei Assombrado</t>
  </si>
  <si>
    <t>When played: The Zombie player Conjures a Monster.</t>
  </si>
  <si>
    <t>For generations, the Pumpkings have kept their realms safe from a terrible curse. Tonight, they finally face their greatest fear.</t>
  </si>
  <si>
    <t>Sun-Shroom</t>
  </si>
  <si>
    <t>Start of Turn: You get +1SunPvZH this turn and this transforms into a Sunnier-Shroom.</t>
  </si>
  <si>
    <t>"Fun in the Sun? That's for other Plants. I just make the stuff. I don't actually like it."</t>
  </si>
  <si>
    <t>Jack O' Lantern</t>
  </si>
  <si>
    <t>This gets +1StrengthPvZH when it hurts the Zombie Hero.</t>
  </si>
  <si>
    <t>"I just love to get Zombies all fired up. If you catch my drift."</t>
  </si>
  <si>
    <t>Ketchup Mechanic</t>
  </si>
  <si>
    <t>Mecânica de Catchup</t>
  </si>
  <si>
    <t>When played: For each Zombie, this gets +1StrengthPvZH/+1HeartPvZH and Heal the Plant Hero for 1.</t>
  </si>
  <si>
    <t>Catchup mechanics help you get back in a game when you're behind. Ketchup Mechanics fix your fruit.</t>
  </si>
  <si>
    <t>When played: Destroy a Zombie here with 4StrengthPvZH or less.
Start of Turn: You get +1SunPvZH this turn.</t>
  </si>
  <si>
    <t>Toadstool can't stand being idle. When there's work to be done, she's always the first to hop to it.</t>
  </si>
  <si>
    <t>Forget-Me-Nuts</t>
  </si>
  <si>
    <t>Noz-me-esqueças</t>
  </si>
  <si>
    <t>Zombie Tricks cost 1BrainPvZH more.</t>
  </si>
  <si>
    <t>"I'd forget my own flower if it wasn't stuck to my head. Wait, what were we talking about?"</t>
  </si>
  <si>
    <t>When a Zombie hurts this, move that Zombie to the left. If it's a Vimpire, destroy it.</t>
  </si>
  <si>
    <t>"Vimpires. They're the worst. I don't like to use the word "hate" but yeah, I hate 'em."</t>
  </si>
  <si>
    <t>Corn Dog</t>
  </si>
  <si>
    <t>Cachorro-Milho</t>
  </si>
  <si>
    <t>Amphibious Hunt</t>
  </si>
  <si>
    <t>"Who's a good vegetable? You are! Yes, you are!"</t>
  </si>
  <si>
    <t>Tâmaramante</t>
  </si>
  <si>
    <t>When played: Move a Zombie to this lane.
When destroyed: Do 3 damage to a Zombie here.</t>
  </si>
  <si>
    <t>He's a hot commodity on dating sites such as eGardening, Thatch.com, and OKTulip.</t>
  </si>
  <si>
    <t>Health-Nut</t>
  </si>
  <si>
    <t>Noz-Ajuda</t>
  </si>
  <si>
    <t>This attacks using its HeartPvZH instead of its StrengthPvZH.</t>
  </si>
  <si>
    <t>He always skips leg day.</t>
  </si>
  <si>
    <t>Pear Cub</t>
  </si>
  <si>
    <t>Filhote Pera</t>
  </si>
  <si>
    <t>So cute and cuddly and ... wait, what's that growling sound?</t>
  </si>
  <si>
    <t>Shamrocket</t>
  </si>
  <si>
    <t>Trevoguete</t>
  </si>
  <si>
    <t>Destroy a Zombie with 4StrengthPvZH or more.</t>
  </si>
  <si>
    <t>The bigger they are, the harder they go boom.</t>
  </si>
  <si>
    <t>When played behind a Plant: This becomes 7StrengthPvZH/2HeartPvZH.</t>
  </si>
  <si>
    <t>"I do stretching exercises every morning," he says. "It's important to stay physically and mentally nimble."</t>
  </si>
  <si>
    <t>Flor-coração</t>
  </si>
  <si>
    <t>When this does damage, it gets +1StrengthPvZH.</t>
  </si>
  <si>
    <t>Sometimes we hurt the ones we love. Blooming Heart knows this all too well.</t>
  </si>
  <si>
    <t>High-Voltage Currant</t>
  </si>
  <si>
    <t>This gets +1StrengthPvZH when another Berry does damage.
When played: Conjure a Berry.</t>
  </si>
  <si>
    <t>These trouble makers are just asking to get grounded.</t>
  </si>
  <si>
    <t>Sonic Bloom</t>
  </si>
  <si>
    <t>Trovacelga</t>
  </si>
  <si>
    <t>When played: Do 1 damage the Zombie Hero for each Plant.</t>
  </si>
  <si>
    <t>Victory faster than the speed of sound.</t>
  </si>
  <si>
    <t>Transfiguration</t>
  </si>
  <si>
    <t>Transfiguração</t>
  </si>
  <si>
    <t>Whenever a Plant is hurt and survives, transform it into a random Plant.</t>
  </si>
  <si>
    <t>"By Heisenberg's Uncertainty Principle, if you look at a Plant too closely, you actually change what that Plant is..."</t>
  </si>
  <si>
    <t>Atomic Bombegranate</t>
  </si>
  <si>
    <t>Bombarromã Atômica</t>
  </si>
  <si>
    <t>When destroyed: Make Seedlings next door.</t>
  </si>
  <si>
    <t>Remember: Never ever EVER split a fruit. Oh, hold on, actually fruits are ok, just never split an atom.</t>
  </si>
  <si>
    <t>After combat here: Do 6 damage to a random Zombie or the Zombie Hero.</t>
  </si>
  <si>
    <t>Does she strike a "random" Zombie with her lightning? Really? Or is she settling an old, unspoken score?</t>
  </si>
  <si>
    <t>Spyris</t>
  </si>
  <si>
    <t>Írispião</t>
  </si>
  <si>
    <t>You can tap Gravestones to see which Zombies are hiding in them.</t>
  </si>
  <si>
    <t>You can't hide anything from her. Don't even try. She'll get inside your HEAD.</t>
  </si>
  <si>
    <t>Go-Nut</t>
  </si>
  <si>
    <t>Insanoz</t>
  </si>
  <si>
    <t>When you play a Team-Up Plant, all Team-Up Plants get +1StrengthPvZH.</t>
  </si>
  <si>
    <t>"GROW-Nuts! THROW-Nuts! When we get big we GO-Nuts! Goooooooo PLANTS!"</t>
  </si>
  <si>
    <t>Mayflower</t>
  </si>
  <si>
    <t>Flor-de-Maio</t>
  </si>
  <si>
    <t>When this hurts the Zombie Hero, Conjure a Corn, Squash, or Bean.</t>
  </si>
  <si>
    <t>Do April showers bring Mayflowers? My goodness, isn't that a personal question!</t>
  </si>
  <si>
    <t>Sportacus</t>
  </si>
  <si>
    <t>Esportacus</t>
  </si>
  <si>
    <t>When a Zombie Trick is played, do 2 damage to the Zombie Hero.</t>
  </si>
  <si>
    <t>"I am Sportacus!"</t>
  </si>
  <si>
    <t>Snake Grass</t>
  </si>
  <si>
    <t>Cobragrama</t>
  </si>
  <si>
    <t>Start of Turn: Make another Snake Grass in the lane to the right.</t>
  </si>
  <si>
    <t>"Snakes. Why'd it have to be snakes?"</t>
  </si>
  <si>
    <t>End of Turn: Destroy a random Zombie and make a Puff-Shroom there.</t>
  </si>
  <si>
    <t>Zombies are always trying to build a bridge out of her.</t>
  </si>
  <si>
    <t>Jolly Holly</t>
  </si>
  <si>
    <t>Azegrinha</t>
  </si>
  <si>
    <t>When played: PvZH Frozen IconFreeze Zombies next door.</t>
  </si>
  <si>
    <t>No exaggeration, she is ALWAYS in a great mood. Even when fighting Zombies. "What's not to love about saving the world?" she says.</t>
  </si>
  <si>
    <t>Sap-Fling</t>
  </si>
  <si>
    <t>When played: Make a Sappy Place Environment.</t>
  </si>
  <si>
    <t>He dates a lot of different branches, but nothing ever sticks.</t>
  </si>
  <si>
    <t>Astrocado Pit</t>
  </si>
  <si>
    <t>Lieutenant Carrotron</t>
  </si>
  <si>
    <t>Start of turn: This transforms into an Astrocado.</t>
  </si>
  <si>
    <t>Getting defeated is the pits.</t>
  </si>
  <si>
    <t>Token</t>
  </si>
  <si>
    <t>Ensign Uproot</t>
  </si>
  <si>
    <t>Alferes Trator</t>
  </si>
  <si>
    <t>Superpower</t>
  </si>
  <si>
    <t>When played: Move another Plant or Zombie.</t>
  </si>
  <si>
    <t>His mighty tractor beam is straight off the farm and out of this world.</t>
  </si>
  <si>
    <t>Hothead</t>
  </si>
  <si>
    <t>Cabeça Quente</t>
  </si>
  <si>
    <t>When destroyed: Do 6 damage to a Zombie here.</t>
  </si>
  <si>
    <t>Sure, he has an explosive temper. But for the most part, he's pretty even peeled.</t>
  </si>
  <si>
    <t>Magic Beanstalk</t>
  </si>
  <si>
    <t>Pé de Feijão Mágico</t>
  </si>
  <si>
    <t>When played: Draw a card.</t>
  </si>
  <si>
    <t>Giant not included.</t>
  </si>
  <si>
    <t>Sappy Place</t>
  </si>
  <si>
    <t>Fonte de Seiva</t>
  </si>
  <si>
    <t>Zombies here get -3StrengthPvZH</t>
  </si>
  <si>
    <t>Zombies just hate a sappy ending.</t>
  </si>
  <si>
    <t>Tenente Cenotron</t>
  </si>
  <si>
    <t>When played: Conjure a Root.</t>
  </si>
  <si>
    <t>Beta-Carrotina knows she can always count on him to get to the root of the problem.</t>
  </si>
  <si>
    <t>1500</t>
  </si>
  <si>
    <t>0</t>
  </si>
  <si>
    <t>180</t>
  </si>
  <si>
    <t>150</t>
  </si>
  <si>
    <t>900</t>
  </si>
  <si>
    <t>10</t>
  </si>
  <si>
    <t>2500</t>
  </si>
  <si>
    <t>70</t>
  </si>
  <si>
    <t>200</t>
  </si>
  <si>
    <t>30</t>
  </si>
  <si>
    <t>Eletricit-ea</t>
  </si>
  <si>
    <t>500</t>
  </si>
  <si>
    <t>1600</t>
  </si>
  <si>
    <t>1000</t>
  </si>
  <si>
    <t>525</t>
  </si>
  <si>
    <t>350</t>
  </si>
  <si>
    <t>7</t>
  </si>
  <si>
    <t>90</t>
  </si>
  <si>
    <t>1400</t>
  </si>
  <si>
    <t>20</t>
  </si>
  <si>
    <t>25</t>
  </si>
  <si>
    <t>300</t>
  </si>
  <si>
    <t>65</t>
  </si>
  <si>
    <t>50</t>
  </si>
  <si>
    <t>2200</t>
  </si>
  <si>
    <t>55</t>
  </si>
  <si>
    <t>6</t>
  </si>
  <si>
    <t>debuff, slowing, area-effect</t>
  </si>
  <si>
    <t>Chapéugumelo</t>
  </si>
  <si>
    <t>400</t>
  </si>
  <si>
    <t>1800</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</si>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</sst>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0"/>
      <color rgb="FF000000"/>
      <name val="Arial"/>
      <scheme val="minor"/>
    </font>
    <font>
      <b/>
      <sz val="10"/>
      <color rgb="FFFFFFFF"/>
      <name val="Arial"/>
      <scheme val="minor"/>
    </font>
    <font>
      <sz val="10"/>
      <color rgb="FFFFFFFF"/>
      <name val="Arial"/>
      <scheme val="minor"/>
    </font>
    <font>
      <sz val="10"/>
      <color rgb="FF434343"/>
      <name val="Arial"/>
      <scheme val="minor"/>
    </font>
    <font>
      <u/>
      <sz val="10"/>
      <color rgb="FF434343"/>
      <name val="Roboto"/>
    </font>
    <font>
      <u/>
      <sz val="10"/>
      <color rgb="FF0000FF"/>
      <name val="Roboto"/>
    </font>
    <font>
      <u/>
      <sz val="10"/>
      <color rgb="FF0000FF"/>
      <name val="Roboto"/>
    </font>
    <font>
      <u/>
      <sz val="10"/>
      <color rgb="FF434343"/>
      <name val="Roboto"/>
    </font>
    <font>
      <u/>
      <sz val="10"/>
      <color rgb="FF434343"/>
      <name val="Roboto"/>
    </font>
    <font>
      <sz val="10"/>
      <color rgb="FF434343"/>
      <name val="Arial"/>
    </font>
    <font>
      <sz val="10"/>
      <color theme="1"/>
      <name val="Arial"/>
      <scheme val="minor"/>
    </font>
    <font>
      <u/>
      <sz val="10"/>
      <color rgb="FF434343"/>
      <name val="Roboto"/>
    </font>
    <font>
      <sz val="10"/>
      <color rgb="FF434343"/>
      <name val="Roboto"/>
    </font>
    <font>
      <sz val="10"/>
      <color theme="1"/>
      <name val="Arial"/>
    </font>
    <font>
      <sz val="10"/>
      <color rgb="FFB10202"/>
      <name val="Roboto"/>
    </font>
    <font>
      <u/>
      <sz val="10"/>
      <color rgb="FF434343"/>
      <name val="Roboto"/>
    </font>
    <font>
      <u/>
      <sz val="10"/>
      <color rgb="FF434343"/>
      <name val="Roboto"/>
    </font>
    <font>
      <sz val="10"/>
      <color theme="0"/>
      <name val="Arial"/>
      <scheme val="minor"/>
    </font>
    <font>
      <u/>
      <sz val="10"/>
      <color rgb="FF0000FF"/>
      <name val="Arial"/>
    </font>
    <font>
      <u/>
      <sz val="10"/>
      <color rgb="FF0000FF"/>
      <name val="Roboto"/>
    </font>
    <font>
      <u/>
      <sz val="10"/>
      <color rgb="FF0000FF"/>
      <name val="Roboto"/>
    </font>
    <font>
      <u/>
      <sz val="10"/>
      <color rgb="FF0000FF"/>
      <name val="Roboto"/>
    </font>
  </fonts>
  <fills count="4">
    <fill>
      <patternFill patternType="none"/>
    </fill>
    <fill>
      <patternFill patternType="gray125"/>
    </fill>
    <fill>
      <patternFill patternType="solid">
        <fgColor rgb="FFFFFFFF"/>
        <bgColor rgb="FFFFFFFF"/>
      </patternFill>
    </fill>
    <fill>
      <patternFill patternType="solid">
        <fgColor rgb="FF356854"/>
        <bgColor rgb="FF356854"/>
      </patternFill>
    </fill>
  </fills>
  <borders count="16">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94">
    <xf numFmtId="0" fontId="0" fillId="0" borderId="0" xfId="0"/>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49" fontId="2"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3" fillId="0" borderId="5" xfId="0" applyFont="1" applyBorder="1" applyAlignment="1">
      <alignment horizontal="center" vertical="center" wrapText="1"/>
    </xf>
    <xf numFmtId="0" fontId="4" fillId="0" borderId="6" xfId="0" applyFont="1" applyBorder="1" applyAlignment="1">
      <alignment vertical="center" wrapText="1"/>
    </xf>
    <xf numFmtId="0" fontId="3" fillId="0" borderId="7" xfId="0" applyFont="1" applyBorder="1" applyAlignment="1">
      <alignment horizontal="center" vertical="center" wrapText="1"/>
    </xf>
    <xf numFmtId="0" fontId="3" fillId="0" borderId="8" xfId="0" applyFont="1" applyBorder="1" applyAlignment="1">
      <alignment vertical="center" wrapText="1"/>
    </xf>
    <xf numFmtId="0" fontId="3" fillId="0" borderId="8" xfId="0" applyFont="1" applyBorder="1" applyAlignment="1">
      <alignment vertical="center"/>
    </xf>
    <xf numFmtId="0" fontId="3" fillId="0" borderId="8" xfId="0" applyFont="1" applyBorder="1" applyAlignment="1">
      <alignment horizontal="center" vertical="center" wrapText="1"/>
    </xf>
    <xf numFmtId="0" fontId="5" fillId="0" borderId="9" xfId="0" applyFont="1" applyBorder="1" applyAlignment="1">
      <alignment vertical="center" wrapText="1"/>
    </xf>
    <xf numFmtId="0" fontId="6" fillId="0" borderId="6" xfId="0" applyFont="1" applyBorder="1" applyAlignment="1">
      <alignment vertical="center" wrapText="1"/>
    </xf>
    <xf numFmtId="0" fontId="7" fillId="0" borderId="9" xfId="0" applyFont="1" applyBorder="1" applyAlignment="1">
      <alignment vertical="center" wrapText="1"/>
    </xf>
    <xf numFmtId="0" fontId="8" fillId="0" borderId="6" xfId="0" applyFont="1" applyBorder="1" applyAlignment="1">
      <alignment vertical="center" wrapText="1"/>
    </xf>
    <xf numFmtId="0" fontId="9" fillId="2" borderId="5" xfId="0" applyFont="1" applyFill="1" applyBorder="1" applyAlignment="1">
      <alignment horizontal="left" vertical="center" wrapText="1"/>
    </xf>
    <xf numFmtId="0" fontId="3" fillId="0" borderId="9" xfId="0" applyFont="1" applyBorder="1" applyAlignment="1">
      <alignment vertical="center" wrapText="1"/>
    </xf>
    <xf numFmtId="0" fontId="10" fillId="0" borderId="8" xfId="0" applyFont="1" applyBorder="1" applyAlignment="1">
      <alignment vertical="center"/>
    </xf>
    <xf numFmtId="0" fontId="3" fillId="0" borderId="10" xfId="0" applyFont="1" applyBorder="1" applyAlignment="1">
      <alignment horizontal="center" vertical="center" wrapText="1"/>
    </xf>
    <xf numFmtId="0" fontId="3" fillId="0" borderId="11" xfId="0" applyFont="1" applyBorder="1" applyAlignment="1">
      <alignment vertical="center" wrapText="1"/>
    </xf>
    <xf numFmtId="0" fontId="3" fillId="0" borderId="11" xfId="0" applyFont="1" applyBorder="1" applyAlignment="1">
      <alignment vertical="center"/>
    </xf>
    <xf numFmtId="0" fontId="3" fillId="0" borderId="11" xfId="0" applyFont="1" applyBorder="1" applyAlignment="1">
      <alignment horizontal="center" vertical="center" wrapText="1"/>
    </xf>
    <xf numFmtId="0" fontId="11" fillId="0" borderId="12" xfId="0" applyFont="1" applyBorder="1" applyAlignment="1">
      <alignment vertical="center" wrapText="1"/>
    </xf>
    <xf numFmtId="0" fontId="3" fillId="0" borderId="0" xfId="0" applyFont="1"/>
    <xf numFmtId="0" fontId="3" fillId="0" borderId="0" xfId="0" applyFont="1" applyAlignment="1">
      <alignment wrapText="1"/>
    </xf>
    <xf numFmtId="49" fontId="2" fillId="0" borderId="3" xfId="0" applyNumberFormat="1" applyFont="1" applyBorder="1" applyAlignment="1">
      <alignment horizontal="center" vertical="center" wrapText="1"/>
    </xf>
    <xf numFmtId="0" fontId="10" fillId="0" borderId="5" xfId="0" applyFont="1" applyBorder="1" applyAlignment="1">
      <alignment vertical="center"/>
    </xf>
    <xf numFmtId="0" fontId="10" fillId="0" borderId="5" xfId="0" applyFont="1" applyBorder="1" applyAlignment="1">
      <alignment vertical="center" wrapText="1"/>
    </xf>
    <xf numFmtId="0" fontId="10" fillId="0" borderId="5" xfId="0" applyFont="1" applyBorder="1" applyAlignment="1">
      <alignment horizontal="center" vertical="center"/>
    </xf>
    <xf numFmtId="0" fontId="12" fillId="2" borderId="8" xfId="0" applyFont="1" applyFill="1" applyBorder="1" applyAlignment="1">
      <alignment vertical="center"/>
    </xf>
    <xf numFmtId="0" fontId="12" fillId="2" borderId="8" xfId="0" applyFont="1" applyFill="1" applyBorder="1" applyAlignment="1">
      <alignment vertical="center" wrapText="1"/>
    </xf>
    <xf numFmtId="0" fontId="12" fillId="2" borderId="8" xfId="0" applyFont="1" applyFill="1" applyBorder="1" applyAlignment="1">
      <alignment horizontal="right" vertical="center"/>
    </xf>
    <xf numFmtId="0" fontId="13" fillId="2" borderId="8" xfId="0" applyFont="1" applyFill="1" applyBorder="1" applyAlignment="1">
      <alignment vertical="center"/>
    </xf>
    <xf numFmtId="0" fontId="12" fillId="2" borderId="8" xfId="0" applyFont="1" applyFill="1" applyBorder="1" applyAlignment="1">
      <alignment horizontal="center" vertical="center"/>
    </xf>
    <xf numFmtId="0" fontId="14" fillId="2" borderId="8" xfId="0" applyFont="1" applyFill="1" applyBorder="1" applyAlignment="1">
      <alignment vertical="center"/>
    </xf>
    <xf numFmtId="0" fontId="12" fillId="2" borderId="5" xfId="0" applyFont="1" applyFill="1" applyBorder="1" applyAlignment="1">
      <alignment vertical="center"/>
    </xf>
    <xf numFmtId="0" fontId="12" fillId="2" borderId="5" xfId="0" applyFont="1" applyFill="1" applyBorder="1" applyAlignment="1">
      <alignment vertical="center" wrapText="1"/>
    </xf>
    <xf numFmtId="0" fontId="12" fillId="2" borderId="5" xfId="0" applyFont="1" applyFill="1" applyBorder="1" applyAlignment="1">
      <alignment horizontal="right" vertical="center"/>
    </xf>
    <xf numFmtId="0" fontId="13" fillId="2" borderId="5" xfId="0" applyFont="1" applyFill="1" applyBorder="1" applyAlignment="1">
      <alignment vertical="center"/>
    </xf>
    <xf numFmtId="0" fontId="12" fillId="2" borderId="5" xfId="0" applyFont="1" applyFill="1" applyBorder="1" applyAlignment="1">
      <alignment horizontal="center" vertical="center"/>
    </xf>
    <xf numFmtId="0" fontId="14" fillId="2" borderId="5" xfId="0" applyFont="1" applyFill="1" applyBorder="1" applyAlignment="1">
      <alignment vertical="center"/>
    </xf>
    <xf numFmtId="0" fontId="12" fillId="2" borderId="5" xfId="0" applyFont="1" applyFill="1" applyBorder="1" applyAlignment="1">
      <alignment horizontal="right" vertical="center" wrapText="1"/>
    </xf>
    <xf numFmtId="0" fontId="12" fillId="2" borderId="8" xfId="0" applyFont="1" applyFill="1" applyBorder="1" applyAlignment="1">
      <alignment horizontal="right" vertical="center" wrapText="1"/>
    </xf>
    <xf numFmtId="0" fontId="3" fillId="0" borderId="13" xfId="0" applyFont="1" applyBorder="1" applyAlignment="1">
      <alignment horizontal="center" vertical="center" wrapText="1"/>
    </xf>
    <xf numFmtId="0" fontId="12" fillId="2" borderId="14" xfId="0" applyFont="1" applyFill="1" applyBorder="1" applyAlignment="1">
      <alignment vertical="center"/>
    </xf>
    <xf numFmtId="0" fontId="12" fillId="2" borderId="14" xfId="0" applyFont="1" applyFill="1" applyBorder="1" applyAlignment="1">
      <alignment vertical="center" wrapText="1"/>
    </xf>
    <xf numFmtId="0" fontId="12" fillId="2" borderId="14" xfId="0" applyFont="1" applyFill="1" applyBorder="1" applyAlignment="1">
      <alignment horizontal="right" vertical="center"/>
    </xf>
    <xf numFmtId="0" fontId="13" fillId="2" borderId="14" xfId="0" applyFont="1" applyFill="1" applyBorder="1" applyAlignment="1">
      <alignment vertical="center"/>
    </xf>
    <xf numFmtId="0" fontId="12" fillId="2" borderId="14" xfId="0" applyFont="1" applyFill="1" applyBorder="1" applyAlignment="1">
      <alignment horizontal="center" vertical="center"/>
    </xf>
    <xf numFmtId="0" fontId="12" fillId="2" borderId="14" xfId="0" applyFont="1" applyFill="1" applyBorder="1" applyAlignment="1">
      <alignment horizontal="right" vertical="center" wrapText="1"/>
    </xf>
    <xf numFmtId="0" fontId="14" fillId="2" borderId="14" xfId="0" applyFont="1" applyFill="1" applyBorder="1" applyAlignment="1">
      <alignment vertical="center"/>
    </xf>
    <xf numFmtId="0" fontId="3" fillId="0" borderId="14" xfId="0" applyFont="1" applyBorder="1" applyAlignment="1">
      <alignment vertical="center" wrapText="1"/>
    </xf>
    <xf numFmtId="0" fontId="15" fillId="0" borderId="15" xfId="0" applyFont="1" applyBorder="1" applyAlignment="1">
      <alignment vertical="center" wrapText="1"/>
    </xf>
    <xf numFmtId="0" fontId="16" fillId="0" borderId="12" xfId="0" applyFont="1" applyBorder="1" applyAlignment="1">
      <alignment vertical="center" wrapText="1"/>
    </xf>
    <xf numFmtId="0" fontId="2" fillId="0" borderId="3" xfId="0" applyFont="1" applyBorder="1" applyAlignment="1">
      <alignment horizontal="center" vertical="center"/>
    </xf>
    <xf numFmtId="0" fontId="3" fillId="0" borderId="6" xfId="0" applyFont="1" applyBorder="1" applyAlignment="1">
      <alignment vertical="center"/>
    </xf>
    <xf numFmtId="0" fontId="3" fillId="0" borderId="9"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17" fillId="3" borderId="0" xfId="0" applyFont="1" applyFill="1"/>
    <xf numFmtId="0" fontId="10" fillId="0" borderId="0" xfId="0" applyFont="1"/>
    <xf numFmtId="0" fontId="18" fillId="0" borderId="0" xfId="0" applyFont="1"/>
    <xf numFmtId="0" fontId="2" fillId="3" borderId="1" xfId="0" applyFont="1" applyFill="1" applyBorder="1" applyAlignment="1">
      <alignment horizontal="left" vertical="center"/>
    </xf>
    <xf numFmtId="0" fontId="17" fillId="3" borderId="2" xfId="0" applyFont="1" applyFill="1" applyBorder="1" applyAlignment="1">
      <alignment horizontal="left" vertical="center"/>
    </xf>
    <xf numFmtId="0" fontId="10" fillId="0" borderId="2" xfId="0" applyFont="1" applyBorder="1" applyAlignment="1">
      <alignment horizontal="left" vertical="center"/>
    </xf>
    <xf numFmtId="0" fontId="17" fillId="3" borderId="3" xfId="0" applyFont="1" applyFill="1" applyBorder="1" applyAlignment="1">
      <alignment horizontal="left" vertical="center"/>
    </xf>
    <xf numFmtId="0" fontId="10" fillId="0" borderId="4" xfId="0" applyFont="1" applyBorder="1" applyAlignment="1">
      <alignment vertical="center"/>
    </xf>
    <xf numFmtId="1" fontId="10" fillId="0" borderId="5" xfId="0" applyNumberFormat="1" applyFont="1" applyBorder="1" applyAlignment="1">
      <alignment vertical="center"/>
    </xf>
    <xf numFmtId="49" fontId="10" fillId="0" borderId="5" xfId="0" applyNumberFormat="1" applyFont="1" applyBorder="1" applyAlignment="1">
      <alignment vertical="center"/>
    </xf>
    <xf numFmtId="0" fontId="19" fillId="0" borderId="6" xfId="0" applyFont="1" applyBorder="1" applyAlignment="1">
      <alignment vertical="center"/>
    </xf>
    <xf numFmtId="0" fontId="10" fillId="0" borderId="7" xfId="0" applyFont="1" applyBorder="1" applyAlignment="1">
      <alignment vertical="center"/>
    </xf>
    <xf numFmtId="1" fontId="10" fillId="0" borderId="8" xfId="0" applyNumberFormat="1" applyFont="1" applyBorder="1" applyAlignment="1">
      <alignment vertical="center"/>
    </xf>
    <xf numFmtId="0" fontId="10" fillId="0" borderId="8" xfId="0" applyFont="1" applyBorder="1" applyAlignment="1">
      <alignment horizontal="center" vertical="center"/>
    </xf>
    <xf numFmtId="49" fontId="10" fillId="0" borderId="8" xfId="0" applyNumberFormat="1" applyFont="1" applyBorder="1" applyAlignment="1">
      <alignment vertical="center"/>
    </xf>
    <xf numFmtId="0" fontId="20" fillId="0" borderId="9" xfId="0" applyFont="1" applyBorder="1" applyAlignment="1">
      <alignment vertical="center"/>
    </xf>
    <xf numFmtId="0" fontId="10" fillId="0" borderId="13" xfId="0" applyFont="1" applyBorder="1" applyAlignment="1">
      <alignment vertical="center"/>
    </xf>
    <xf numFmtId="0" fontId="10" fillId="0" borderId="14" xfId="0" applyFont="1" applyBorder="1" applyAlignment="1">
      <alignment vertical="center"/>
    </xf>
    <xf numFmtId="1" fontId="10" fillId="0" borderId="14" xfId="0" applyNumberFormat="1" applyFont="1" applyBorder="1" applyAlignment="1">
      <alignment vertical="center"/>
    </xf>
    <xf numFmtId="0" fontId="10" fillId="0" borderId="14" xfId="0" applyFont="1" applyBorder="1" applyAlignment="1">
      <alignment horizontal="center" vertical="center"/>
    </xf>
    <xf numFmtId="49" fontId="10" fillId="0" borderId="14" xfId="0" applyNumberFormat="1" applyFont="1" applyBorder="1" applyAlignment="1">
      <alignment vertical="center"/>
    </xf>
    <xf numFmtId="0" fontId="21" fillId="0" borderId="15" xfId="0" applyFont="1" applyBorder="1" applyAlignment="1">
      <alignment vertical="center"/>
    </xf>
    <xf numFmtId="164" fontId="0" fillId="0" borderId="0" xfId="0" applyNumberFormat="1"/>
    <xf numFmtId="1" fontId="3" fillId="0" borderId="5" xfId="0" applyNumberFormat="1" applyFont="1" applyBorder="1" applyAlignment="1">
      <alignment vertical="center" wrapText="1"/>
    </xf>
    <xf numFmtId="1" fontId="3" fillId="0" borderId="8" xfId="0" applyNumberFormat="1" applyFont="1" applyBorder="1" applyAlignment="1">
      <alignment vertical="center" wrapText="1"/>
    </xf>
    <xf numFmtId="1" fontId="12" fillId="2" borderId="8" xfId="0" applyNumberFormat="1" applyFont="1" applyFill="1" applyBorder="1" applyAlignment="1">
      <alignment horizontal="right" vertical="center"/>
    </xf>
    <xf numFmtId="1" fontId="12" fillId="2" borderId="5" xfId="0" applyNumberFormat="1" applyFont="1" applyFill="1" applyBorder="1" applyAlignment="1">
      <alignment horizontal="right" vertical="center"/>
    </xf>
    <xf numFmtId="1" fontId="12" fillId="2" borderId="14" xfId="0" applyNumberFormat="1" applyFont="1" applyFill="1" applyBorder="1" applyAlignment="1">
      <alignment horizontal="right" vertical="center"/>
    </xf>
    <xf numFmtId="1" fontId="3" fillId="0" borderId="11" xfId="0" applyNumberFormat="1" applyFont="1" applyBorder="1" applyAlignment="1">
      <alignment vertical="center" wrapText="1"/>
    </xf>
    <xf numFmtId="1" fontId="0" fillId="0" borderId="0" xfId="0" applyNumberFormat="1"/>
    <xf numFmtId="1" fontId="17" fillId="3" borderId="2" xfId="0" applyNumberFormat="1" applyFont="1" applyFill="1" applyBorder="1" applyAlignment="1">
      <alignment horizontal="left" vertical="center"/>
    </xf>
  </cellXfs>
  <cellStyles count="1">
    <cellStyle name="Normal" xfId="0" builtinId="0"/>
  </cellStyles>
  <dxfs count="94">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numFmt numFmtId="1" formatCode="0"/>
    </dxf>
    <dxf>
      <numFmt numFmtId="1" formatCode="0"/>
    </dxf>
    <dxf>
      <numFmt numFmtId="1" formatCode="0"/>
    </dxf>
    <dxf>
      <numFmt numFmtId="1" formatCode="0"/>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7">
    <tableStyle name="Database-style" pivot="0" count="3" xr9:uid="{00000000-0011-0000-FFFF-FFFF00000000}">
      <tableStyleElement type="headerRow" dxfId="93"/>
      <tableStyleElement type="firstRowStripe" dxfId="92"/>
      <tableStyleElement type="secondRowStripe" dxfId="91"/>
    </tableStyle>
    <tableStyle name="Mint-style" pivot="0" count="3" xr9:uid="{00000000-0011-0000-FFFF-FFFF01000000}">
      <tableStyleElement type="headerRow" dxfId="90"/>
      <tableStyleElement type="firstRowStripe" dxfId="89"/>
      <tableStyleElement type="secondRowStripe" dxfId="88"/>
    </tableStyle>
    <tableStyle name="Mint-style 2" pivot="0" count="2" xr9:uid="{00000000-0011-0000-FFFF-FFFF02000000}">
      <tableStyleElement type="firstRowStripe" dxfId="87"/>
      <tableStyleElement type="secondRowStripe" dxfId="86"/>
    </tableStyle>
    <tableStyle name="Others-style" pivot="0" count="3" xr9:uid="{00000000-0011-0000-FFFF-FFFF03000000}">
      <tableStyleElement type="headerRow" dxfId="85"/>
      <tableStyleElement type="firstRowStripe" dxfId="84"/>
      <tableStyleElement type="secondRowStripe" dxfId="83"/>
    </tableStyle>
    <tableStyle name="Chinese_Database-style" pivot="0" count="3" xr9:uid="{00000000-0011-0000-FFFF-FFFF04000000}">
      <tableStyleElement type="headerRow" dxfId="82"/>
      <tableStyleElement type="firstRowStripe" dxfId="81"/>
      <tableStyleElement type="secondRowStripe" dxfId="80"/>
    </tableStyle>
    <tableStyle name="Heroes-style" pivot="0" count="3" xr9:uid="{00000000-0011-0000-FFFF-FFFF05000000}">
      <tableStyleElement type="headerRow" dxfId="79"/>
      <tableStyleElement type="firstRowStripe" dxfId="78"/>
      <tableStyleElement type="secondRowStripe" dxfId="77"/>
    </tableStyle>
    <tableStyle name="Página8-style" pivot="0" count="3" xr9:uid="{00000000-0011-0000-FFFF-FFFF06000000}">
      <tableStyleElement type="headerRow" dxfId="76"/>
      <tableStyleElement type="firstRowStripe" dxfId="75"/>
      <tableStyleElement type="secondRowStripe" dxfId="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_1" displayName="Tabela_1" ref="A1:Y189">
  <tableColumns count="25">
    <tableColumn id="1" xr3:uid="{00000000-0010-0000-0000-000001000000}" name="ID"/>
    <tableColumn id="2" xr3:uid="{00000000-0010-0000-0000-000002000000}" name="Name"/>
    <tableColumn id="3" xr3:uid="{00000000-0010-0000-0000-000003000000}" name="Translation"/>
    <tableColumn id="4" xr3:uid="{00000000-0010-0000-0000-000004000000}" name="Type"/>
    <tableColumn id="5" xr3:uid="{00000000-0010-0000-0000-000005000000}" name="Description"/>
    <tableColumn id="6" xr3:uid="{00000000-0010-0000-0000-000006000000}" name="Sun Cust"/>
    <tableColumn id="7" xr3:uid="{00000000-0010-0000-0000-000007000000}" name="Tought"/>
    <tableColumn id="8" xr3:uid="{00000000-0010-0000-0000-000008000000}" name="Damage"/>
    <tableColumn id="9" xr3:uid="{00000000-0010-0000-0000-000009000000}" name="Recarga" dataDxfId="73"/>
    <tableColumn id="10" xr3:uid="{00000000-0010-0000-0000-00000A000000}" name="Plant Food Effect"/>
    <tableColumn id="11" xr3:uid="{00000000-0010-0000-0000-00000B000000}" name="Hint"/>
    <tableColumn id="12" xr3:uid="{00000000-0010-0000-0000-00000C000000}" name="Special"/>
    <tableColumn id="13" xr3:uid="{00000000-0010-0000-0000-00000D000000}" name="Single use"/>
    <tableColumn id="14" xr3:uid="{00000000-0010-0000-0000-00000E000000}" name="Instant use"/>
    <tableColumn id="15" xr3:uid="{00000000-0010-0000-0000-00000F000000}" name="Sun Production"/>
    <tableColumn id="16" xr3:uid="{00000000-0010-0000-0000-000010000000}" name="Rarity"/>
    <tableColumn id="17" xr3:uid="{00000000-0010-0000-0000-000011000000}" name="Especial"/>
    <tableColumn id="18" xr3:uid="{00000000-0010-0000-0000-000012000000}" name="Plant_Origin"/>
    <tableColumn id="19" xr3:uid="{00000000-0010-0000-0000-000013000000}" name="Origin"/>
    <tableColumn id="20" xr3:uid="{00000000-0010-0000-0000-000014000000}" name="Var Tought"/>
    <tableColumn id="21" xr3:uid="{00000000-0010-0000-0000-000015000000}" name="Var Damage"/>
    <tableColumn id="22" xr3:uid="{00000000-0010-0000-0000-000016000000}" name="Code"/>
    <tableColumn id="23" xr3:uid="{00000000-0010-0000-0000-000017000000}" name="Classification"/>
    <tableColumn id="24" xr3:uid="{00000000-0010-0000-0000-000018000000}" name="Appearances"/>
    <tableColumn id="25" xr3:uid="{00000000-0010-0000-0000-000019000000}" name="img_link"/>
  </tableColumns>
  <tableStyleInfo name="Databas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_2" displayName="Tabela_2" ref="A1:U1" headerRowCount="0">
  <tableColumns count="2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s>
  <tableStyleInfo name="Mint-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1" displayName="Table_1" ref="L2:R2" headerRowCount="0">
  <tableColumns count="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s>
  <tableStyleInfo name="Mint-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a_3" displayName="Tabela_3" ref="A1:Y16">
  <tableColumns count="25">
    <tableColumn id="1" xr3:uid="{00000000-0010-0000-0300-000001000000}" name="ID"/>
    <tableColumn id="2" xr3:uid="{00000000-0010-0000-0300-000002000000}" name="Name"/>
    <tableColumn id="3" xr3:uid="{00000000-0010-0000-0300-000003000000}" name="Translation"/>
    <tableColumn id="4" xr3:uid="{00000000-0010-0000-0300-000004000000}" name="Type"/>
    <tableColumn id="5" xr3:uid="{00000000-0010-0000-0300-000005000000}" name="Description"/>
    <tableColumn id="6" xr3:uid="{00000000-0010-0000-0300-000006000000}" name="Sun Cust"/>
    <tableColumn id="7" xr3:uid="{00000000-0010-0000-0300-000007000000}" name="Tought"/>
    <tableColumn id="8" xr3:uid="{00000000-0010-0000-0300-000008000000}" name="Damage"/>
    <tableColumn id="9" xr3:uid="{00000000-0010-0000-0300-000009000000}" name="Recarga" dataDxfId="72"/>
    <tableColumn id="10" xr3:uid="{00000000-0010-0000-0300-00000A000000}" name="Plant Food Effect"/>
    <tableColumn id="11" xr3:uid="{00000000-0010-0000-0300-00000B000000}" name="Hint"/>
    <tableColumn id="12" xr3:uid="{00000000-0010-0000-0300-00000C000000}" name="Special"/>
    <tableColumn id="13" xr3:uid="{00000000-0010-0000-0300-00000D000000}" name="Single use"/>
    <tableColumn id="14" xr3:uid="{00000000-0010-0000-0300-00000E000000}" name="Instant use"/>
    <tableColumn id="15" xr3:uid="{00000000-0010-0000-0300-00000F000000}" name="Sun Production"/>
    <tableColumn id="16" xr3:uid="{00000000-0010-0000-0300-000010000000}" name="Rarity"/>
    <tableColumn id="17" xr3:uid="{00000000-0010-0000-0300-000011000000}" name="Especial"/>
    <tableColumn id="18" xr3:uid="{00000000-0010-0000-0300-000012000000}" name="Plant_Origin"/>
    <tableColumn id="19" xr3:uid="{00000000-0010-0000-0300-000013000000}" name="Origin"/>
    <tableColumn id="20" xr3:uid="{00000000-0010-0000-0300-000014000000}" name="Var Tought"/>
    <tableColumn id="21" xr3:uid="{00000000-0010-0000-0300-000015000000}" name="Var Damage"/>
    <tableColumn id="22" xr3:uid="{00000000-0010-0000-0300-000016000000}" name="Code"/>
    <tableColumn id="23" xr3:uid="{00000000-0010-0000-0300-000017000000}" name="Classification"/>
    <tableColumn id="24" xr3:uid="{00000000-0010-0000-0300-000018000000}" name="Appearances"/>
    <tableColumn id="25" xr3:uid="{00000000-0010-0000-0300-000019000000}" name="img_link"/>
  </tableColumns>
  <tableStyleInfo name="Other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ela_4" displayName="Tabela_4" ref="A1:Y121">
  <tableColumns count="25">
    <tableColumn id="1" xr3:uid="{00000000-0010-0000-0400-000001000000}" name="ID"/>
    <tableColumn id="2" xr3:uid="{00000000-0010-0000-0400-000002000000}" name="Name"/>
    <tableColumn id="3" xr3:uid="{00000000-0010-0000-0400-000003000000}" name="Translation"/>
    <tableColumn id="4" xr3:uid="{00000000-0010-0000-0400-000004000000}" name="Type"/>
    <tableColumn id="5" xr3:uid="{00000000-0010-0000-0400-000005000000}" name="Description"/>
    <tableColumn id="6" xr3:uid="{00000000-0010-0000-0400-000006000000}" name="Sun Cust"/>
    <tableColumn id="7" xr3:uid="{00000000-0010-0000-0400-000007000000}" name="Tought"/>
    <tableColumn id="8" xr3:uid="{00000000-0010-0000-0400-000008000000}" name="Damage"/>
    <tableColumn id="9" xr3:uid="{00000000-0010-0000-0400-000009000000}" name="Recarga" dataDxfId="71"/>
    <tableColumn id="10" xr3:uid="{00000000-0010-0000-0400-00000A000000}" name="Plant Food Effect"/>
    <tableColumn id="11" xr3:uid="{00000000-0010-0000-0400-00000B000000}" name="Hint"/>
    <tableColumn id="12" xr3:uid="{00000000-0010-0000-0400-00000C000000}" name="Special"/>
    <tableColumn id="13" xr3:uid="{00000000-0010-0000-0400-00000D000000}" name="Single use"/>
    <tableColumn id="14" xr3:uid="{00000000-0010-0000-0400-00000E000000}" name="Instant use"/>
    <tableColumn id="15" xr3:uid="{00000000-0010-0000-0400-00000F000000}" name="Sun Production"/>
    <tableColumn id="16" xr3:uid="{00000000-0010-0000-0400-000010000000}" name="Rarity"/>
    <tableColumn id="17" xr3:uid="{00000000-0010-0000-0400-000011000000}" name="Especial"/>
    <tableColumn id="18" xr3:uid="{00000000-0010-0000-0400-000012000000}" name="Plant_Origin"/>
    <tableColumn id="19" xr3:uid="{00000000-0010-0000-0400-000013000000}" name="Origin"/>
    <tableColumn id="20" xr3:uid="{00000000-0010-0000-0400-000014000000}" name="Var Tought"/>
    <tableColumn id="21" xr3:uid="{00000000-0010-0000-0400-000015000000}" name="Var Damage"/>
    <tableColumn id="22" xr3:uid="{00000000-0010-0000-0400-000016000000}" name="Code"/>
    <tableColumn id="23" xr3:uid="{00000000-0010-0000-0400-000017000000}" name="Classification"/>
    <tableColumn id="24" xr3:uid="{00000000-0010-0000-0400-000018000000}" name="Appearances"/>
    <tableColumn id="25" xr3:uid="{00000000-0010-0000-0400-000019000000}" name="img_link"/>
  </tableColumns>
  <tableStyleInfo name="Chinese_Database-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ela_5" displayName="Tabela_5" ref="A1:O258">
  <tableColumns count="15">
    <tableColumn id="1" xr3:uid="{00000000-0010-0000-0500-000001000000}" name="ID"/>
    <tableColumn id="2" xr3:uid="{00000000-0010-0000-0500-000002000000}" name="Name"/>
    <tableColumn id="3" xr3:uid="{00000000-0010-0000-0500-000003000000}" name="Translation"/>
    <tableColumn id="4" xr3:uid="{00000000-0010-0000-0500-000004000000}" name="Type"/>
    <tableColumn id="5" xr3:uid="{00000000-0010-0000-0500-000005000000}" name="Tribe"/>
    <tableColumn id="6" xr3:uid="{00000000-0010-0000-0500-000006000000}" name="Sub-tribe"/>
    <tableColumn id="7" xr3:uid="{00000000-0010-0000-0500-000007000000}" name="Origin-tribe"/>
    <tableColumn id="8" xr3:uid="{00000000-0010-0000-0500-000008000000}" name="Trait"/>
    <tableColumn id="9" xr3:uid="{00000000-0010-0000-0500-000009000000}" name="Ability"/>
    <tableColumn id="10" xr3:uid="{00000000-0010-0000-0500-00000A000000}" name="Sun Cust"/>
    <tableColumn id="11" xr3:uid="{00000000-0010-0000-0500-00000B000000}" name="Strength"/>
    <tableColumn id="12" xr3:uid="{00000000-0010-0000-0500-00000C000000}" name="Health"/>
    <tableColumn id="13" xr3:uid="{00000000-0010-0000-0500-00000D000000}" name="Description"/>
    <tableColumn id="14" xr3:uid="{00000000-0010-0000-0500-00000E000000}" name="Rarity"/>
    <tableColumn id="15" xr3:uid="{00000000-0010-0000-0500-00000F000000}" name="Origin"/>
  </tableColumns>
  <tableStyleInfo name="Heroe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ela_6" displayName="Tabela_6" ref="A1:Y324">
  <tableColumns count="25">
    <tableColumn id="1" xr3:uid="{00000000-0010-0000-0600-000001000000}" name="ID"/>
    <tableColumn id="2" xr3:uid="{00000000-0010-0000-0600-000002000000}" name="Name"/>
    <tableColumn id="3" xr3:uid="{00000000-0010-0000-0600-000003000000}" name="Translation"/>
    <tableColumn id="4" xr3:uid="{00000000-0010-0000-0600-000004000000}" name="Type"/>
    <tableColumn id="5" xr3:uid="{00000000-0010-0000-0600-000005000000}" name="Description"/>
    <tableColumn id="6" xr3:uid="{00000000-0010-0000-0600-000006000000}" name="Sun Cust"/>
    <tableColumn id="7" xr3:uid="{00000000-0010-0000-0600-000007000000}" name="Tought"/>
    <tableColumn id="8" xr3:uid="{00000000-0010-0000-0600-000008000000}" name="Damage"/>
    <tableColumn id="9" xr3:uid="{00000000-0010-0000-0600-000009000000}" name="Recarga" dataDxfId="70"/>
    <tableColumn id="10" xr3:uid="{00000000-0010-0000-0600-00000A000000}" name="Plant Food Effect"/>
    <tableColumn id="11" xr3:uid="{00000000-0010-0000-0600-00000B000000}" name="Hint"/>
    <tableColumn id="12" xr3:uid="{00000000-0010-0000-0600-00000C000000}" name="Special"/>
    <tableColumn id="13" xr3:uid="{00000000-0010-0000-0600-00000D000000}" name="Single use"/>
    <tableColumn id="14" xr3:uid="{00000000-0010-0000-0600-00000E000000}" name="Instant use"/>
    <tableColumn id="15" xr3:uid="{00000000-0010-0000-0600-00000F000000}" name="Sun Production"/>
    <tableColumn id="16" xr3:uid="{00000000-0010-0000-0600-000010000000}" name="Rarity"/>
    <tableColumn id="17" xr3:uid="{00000000-0010-0000-0600-000011000000}" name="Especial"/>
    <tableColumn id="18" xr3:uid="{00000000-0010-0000-0600-000012000000}" name="Plant_Origin"/>
    <tableColumn id="19" xr3:uid="{00000000-0010-0000-0600-000013000000}" name="Origin"/>
    <tableColumn id="20" xr3:uid="{00000000-0010-0000-0600-000014000000}" name="Var Tought"/>
    <tableColumn id="21" xr3:uid="{00000000-0010-0000-0600-000015000000}" name="Var Damage"/>
    <tableColumn id="22" xr3:uid="{00000000-0010-0000-0600-000016000000}" name="Code"/>
    <tableColumn id="23" xr3:uid="{00000000-0010-0000-0600-000017000000}" name="Classification"/>
    <tableColumn id="24" xr3:uid="{00000000-0010-0000-0600-000018000000}" name="Appearances"/>
    <tableColumn id="25" xr3:uid="{00000000-0010-0000-0600-000019000000}" name="img_link"/>
  </tableColumns>
  <tableStyleInfo name="Página8-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1" Type="http://schemas.openxmlformats.org/officeDocument/2006/relationships/hyperlink" Target="https://static.wikia.nocookie.net/plantsvszombies/images/a/a1/Chili_Bean2.png/revision/latest?cb=20160827004139" TargetMode="External"/><Relationship Id="rId42" Type="http://schemas.openxmlformats.org/officeDocument/2006/relationships/hyperlink" Target="https://static.wikia.nocookie.net/plantsvszombies/images/2/27/Magnifying_Grass2.png/revision/latest?cb=20181230190842" TargetMode="External"/><Relationship Id="rId63" Type="http://schemas.openxmlformats.org/officeDocument/2006/relationships/hyperlink" Target="https://static.wikia.nocookie.net/plantsvszombies/images/9/96/Guacodile2.png/revision/latest?cb=2016081802425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f/f5/Stickybomb_Rice2.png/revision/latest?cb=20220219132542" TargetMode="External"/><Relationship Id="rId159" Type="http://schemas.openxmlformats.org/officeDocument/2006/relationships/hyperlink" Target="https://static.wikia.nocookie.net/plantsvszombies/images/2/28/Vamporcini2.png/revision/latest?cb=20220916012705" TargetMode="External"/><Relationship Id="rId170" Type="http://schemas.openxmlformats.org/officeDocument/2006/relationships/hyperlink" Target="https://static.wikia.nocookie.net/plantsvszombies/images/e/e9/Bean_Sprout2.png/revision/latest?cb=20230826230227" TargetMode="External"/><Relationship Id="rId107" Type="http://schemas.openxmlformats.org/officeDocument/2006/relationships/hyperlink" Target="https://static.wikia.nocookie.net/plantsvszombies/images/3/3c/Dandelion2.png/revision/latest?cb=20150822203823" TargetMode="External"/><Relationship Id="rId11" Type="http://schemas.openxmlformats.org/officeDocument/2006/relationships/hyperlink" Target="https://static.wikia.nocookie.net/plantsvszombies/images/1/1e/Twin_Sunflower2.png/revision/latest?cb=20221126071524" TargetMode="External"/><Relationship Id="rId32" Type="http://schemas.openxmlformats.org/officeDocument/2006/relationships/hyperlink" Target="https://static.wikia.nocookie.net/plantsvszombies/images/6/66/Red_Stinger2.png/revision/latest?cb=20160914232205" TargetMode="External"/><Relationship Id="rId53" Type="http://schemas.openxmlformats.org/officeDocument/2006/relationships/hyperlink" Target="https://static.wikia.nocookie.net/plantsvszombies/images/d/d6/Spore-shroom2.png/revision/latest?cb=20180304014203"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149" Type="http://schemas.openxmlformats.org/officeDocument/2006/relationships/hyperlink" Target="https://static.wikia.nocookie.net/plantsvszombies/images/d/d9/Iceweed2.png/revision/latest?cb=20211115203447" TargetMode="External"/><Relationship Id="rId5" Type="http://schemas.openxmlformats.org/officeDocument/2006/relationships/hyperlink" Target="https://static.wikia.nocookie.net/plantsvszombies/images/7/76/Cabbage-pult2.png/revision/latest?cb=20221206062917"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1/15/Meteor_Flower2.png/revision/latest?cb=20220916012728" TargetMode="External"/><Relationship Id="rId181" Type="http://schemas.openxmlformats.org/officeDocument/2006/relationships/hyperlink" Target="https://static.wikia.nocookie.net/plantsvszombies/images/2/21/Blast_Spinner2.png/revision/latest?cb=20240825171337" TargetMode="External"/><Relationship Id="rId22" Type="http://schemas.openxmlformats.org/officeDocument/2006/relationships/hyperlink" Target="https://static.wikia.nocookie.net/plantsvszombies/images/1/13/Pea_Pod2.png/revision/latest?cb=20141116195736" TargetMode="External"/><Relationship Id="rId43" Type="http://schemas.openxmlformats.org/officeDocument/2006/relationships/hyperlink" Target="https://static.wikia.nocookie.net/plantsvszombies/images/f/fa/Tile_Turnip2.png/revision/latest?cb=20181230192657"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139" Type="http://schemas.openxmlformats.org/officeDocument/2006/relationships/hyperlink" Target="https://static.wikia.nocookie.net/plantsvszombies/images/b/bd/Hocus_Crocus2.png/revision/latest?cb=20210205223344"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6/6f/Tiger_Grass2.png/revision/latest?cb=20211212021638" TargetMode="External"/><Relationship Id="rId171" Type="http://schemas.openxmlformats.org/officeDocument/2006/relationships/hyperlink" Target="https://static.wikia.nocookie.net/plantsvszombies/images/7/7f/Nightcap2.png/revision/latest?cb=20230314003500" TargetMode="External"/><Relationship Id="rId12" Type="http://schemas.openxmlformats.org/officeDocument/2006/relationships/hyperlink" Target="https://static.wikia.nocookie.net/plantsvszombies/images/b/b4/Kernel-pult2.png/revision/latest?cb=20221126072120" TargetMode="External"/><Relationship Id="rId33" Type="http://schemas.openxmlformats.org/officeDocument/2006/relationships/hyperlink" Target="https://static.wikia.nocookie.net/plantsvszombies/images/7/7f/A.K.E.E.2.png/revision/latest?cb=20160902061921" TargetMode="External"/><Relationship Id="rId108" Type="http://schemas.openxmlformats.org/officeDocument/2006/relationships/hyperlink" Target="https://static.wikia.nocookie.net/plantsvszombies/images/9/95/Blooming_Heart2.png/revision/latest?cb=20160204153716" TargetMode="External"/><Relationship Id="rId129" Type="http://schemas.openxmlformats.org/officeDocument/2006/relationships/hyperlink" Target="https://static.wikia.nocookie.net/plantsvszombies/images/9/9a/Gumnut2.png/revision/latest?cb=20200318003556" TargetMode="External"/><Relationship Id="rId54" Type="http://schemas.openxmlformats.org/officeDocument/2006/relationships/hyperlink" Target="https://static.wikia.nocookie.net/plantsvszombies/images/9/93/Intensive_Carrot2.png/revision/latest?cb=20150919111412" TargetMode="External"/><Relationship Id="rId75" Type="http://schemas.openxmlformats.org/officeDocument/2006/relationships/hyperlink" Target="https://static.wikia.nocookie.net/plantsvszombies/images/3/30/Strawburst2.png/revision/latest?cb=20161026010927" TargetMode="External"/><Relationship Id="rId96" Type="http://schemas.openxmlformats.org/officeDocument/2006/relationships/hyperlink" Target="https://static.wikia.nocookie.net/plantsvszombies/images/b/b2/Ghost_Pepper2.png/revision/latest?cb=20160916010938" TargetMode="External"/><Relationship Id="rId140" Type="http://schemas.openxmlformats.org/officeDocument/2006/relationships/hyperlink" Target="https://static.wikia.nocookie.net/plantsvszombies/images/8/8a/Gloom_Vine2.png/revision/latest?cb=20210205225758" TargetMode="External"/><Relationship Id="rId161" Type="http://schemas.openxmlformats.org/officeDocument/2006/relationships/hyperlink" Target="https://static.wikia.nocookie.net/plantsvszombies/images/d/da/Chilly_Pepper2.png/revision/latest?cb=20221105224813" TargetMode="External"/><Relationship Id="rId182" Type="http://schemas.openxmlformats.org/officeDocument/2006/relationships/hyperlink" Target="https://static.wikia.nocookie.net/plantsvszombies/images/9/92/Doom-shroom2.png/revision/latest?cb=20241103020717" TargetMode="External"/><Relationship Id="rId6" Type="http://schemas.openxmlformats.org/officeDocument/2006/relationships/hyperlink" Target="https://static.wikia.nocookie.net/plantsvszombies/images/5/57/Bloomerang2.png/revision/latest?cb=20221126070057"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44" Type="http://schemas.openxmlformats.org/officeDocument/2006/relationships/hyperlink" Target="https://static.wikia.nocookie.net/plantsvszombies/images/e/e0/Sun-shroom2.png/revision/latest?cb=20190221195748" TargetMode="External"/><Relationship Id="rId65" Type="http://schemas.openxmlformats.org/officeDocument/2006/relationships/hyperlink" Target="https://static.wikia.nocookie.net/plantsvszombies/images/5/55/Moonflower2.png/revision/latest?cb=20160904210356" TargetMode="External"/><Relationship Id="rId86" Type="http://schemas.openxmlformats.org/officeDocument/2006/relationships/hyperlink" Target="https://static.wikia.nocookie.net/plantsvszombies/images/5/5f/Parsnip2.png/revision/latest?cb=20220316060035" TargetMode="External"/><Relationship Id="rId130" Type="http://schemas.openxmlformats.org/officeDocument/2006/relationships/hyperlink" Target="https://static.wikia.nocookie.net/plantsvszombies/images/9/97/Shine_Vine2.png/revision/latest?cb=20200625090602" TargetMode="External"/><Relationship Id="rId151" Type="http://schemas.openxmlformats.org/officeDocument/2006/relationships/hyperlink" Target="https://static.wikia.nocookie.net/plantsvszombies/images/1/1b/Teleportato_Mine2.png/revision/latest?cb=20211212021625" TargetMode="External"/><Relationship Id="rId172" Type="http://schemas.openxmlformats.org/officeDocument/2006/relationships/hyperlink" Target="https://static.wikia.nocookie.net/plantsvszombies/images/f/fc/Cran_Jelly2.png/revision/latest?cb=20230826073858" TargetMode="External"/><Relationship Id="rId13" Type="http://schemas.openxmlformats.org/officeDocument/2006/relationships/hyperlink" Target="https://static.wikia.nocookie.net/plantsvszombies/images/f/f8/Snapdragon2.png/revision/latest?cb=20221126072250"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109" Type="http://schemas.openxmlformats.org/officeDocument/2006/relationships/hyperlink" Target="https://static.wikia.nocookie.net/plantsvszombies/images/4/42/Explode-O-Nut2.png/revision/latest?cb=20160617175238" TargetMode="External"/><Relationship Id="rId34" Type="http://schemas.openxmlformats.org/officeDocument/2006/relationships/hyperlink" Target="https://static.wikia.nocookie.net/plantsvszombies/images/5/52/Endurian2.png/revision/latest?cb=20160831005313" TargetMode="External"/><Relationship Id="rId50" Type="http://schemas.openxmlformats.org/officeDocument/2006/relationships/hyperlink" Target="https://static.wikia.nocookie.net/plantsvszombies/images/a/a5/Celery_Stalker2.png/revision/latest?cb=20150822202352" TargetMode="External"/><Relationship Id="rId55" Type="http://schemas.openxmlformats.org/officeDocument/2006/relationships/hyperlink" Target="https://static.wikia.nocookie.net/plantsvszombies/images/b/b6/Primal_Peashooter2.png/revision/latest?cb=20160831064137" TargetMode="External"/><Relationship Id="rId76" Type="http://schemas.openxmlformats.org/officeDocument/2006/relationships/hyperlink" Target="https://static.wikia.nocookie.net/plantsvszombies/images/a/aa/Cactus2.png/revision/latest?cb=20150823165854" TargetMode="External"/><Relationship Id="rId97" Type="http://schemas.openxmlformats.org/officeDocument/2006/relationships/hyperlink" Target="https://static.wikia.nocookie.net/plantsvszombies/images/1/1a/Sweet_Potato2.png/revision/latest?cb=20150823165444" TargetMode="External"/><Relationship Id="rId104" Type="http://schemas.openxmlformats.org/officeDocument/2006/relationships/hyperlink" Target="https://static.wikia.nocookie.net/plantsvszombies/images/e/ef/Kiwibeast2.png/revision/latest?cb=20210121015624" TargetMode="External"/><Relationship Id="rId120" Type="http://schemas.openxmlformats.org/officeDocument/2006/relationships/hyperlink" Target="https://static.wikia.nocookie.net/plantsvszombies/images/6/69/Electrici-tea2.png/revision/latest?cb=20200601162225" TargetMode="External"/><Relationship Id="rId125" Type="http://schemas.openxmlformats.org/officeDocument/2006/relationships/hyperlink" Target="https://static.wikia.nocookie.net/plantsvszombies/images/0/07/Pyre_Vine2.png/revision/latest?cb=20190903223137" TargetMode="External"/><Relationship Id="rId141" Type="http://schemas.openxmlformats.org/officeDocument/2006/relationships/hyperlink" Target="https://static.wikia.nocookie.net/plantsvszombies/images/5/52/Draftodil2.png/revision/latest?cb=20210203212740" TargetMode="External"/><Relationship Id="rId146" Type="http://schemas.openxmlformats.org/officeDocument/2006/relationships/hyperlink" Target="https://static.wikia.nocookie.net/plantsvszombies/images/9/95/Power_Vine2.png/revision/latest?cb=20210803233254" TargetMode="External"/><Relationship Id="rId167" Type="http://schemas.openxmlformats.org/officeDocument/2006/relationships/hyperlink" Target="https://static.wikia.nocookie.net/plantsvszombies/images/1/13/Scaredy-shroom2.png/revision/latest?cb=20230415232226" TargetMode="External"/><Relationship Id="rId188" Type="http://schemas.openxmlformats.org/officeDocument/2006/relationships/table" Target="../tables/table1.xml"/><Relationship Id="rId7" Type="http://schemas.openxmlformats.org/officeDocument/2006/relationships/hyperlink" Target="https://static.wikia.nocookie.net/plantsvszombies/images/d/d0/Iceberg_Lettuce2.png/revision/latest?cb=20221126070154"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162" Type="http://schemas.openxmlformats.org/officeDocument/2006/relationships/hyperlink" Target="https://static.wikia.nocookie.net/plantsvszombies/images/4/4f/Bun_Chi2.png/revision/latest?cb=20230201230126" TargetMode="External"/><Relationship Id="rId183" Type="http://schemas.openxmlformats.org/officeDocument/2006/relationships/hyperlink" Target="https://static.wikia.nocookie.net/plantsvszombies/images/7/79/Blaze_Leaf2.png/revision/latest?cb=20241024015246"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4" Type="http://schemas.openxmlformats.org/officeDocument/2006/relationships/hyperlink" Target="https://static.wikia.nocookie.net/plantsvszombies/images/f/fe/Melon-pult2.png/revision/latest?cb=20141116195851" TargetMode="External"/><Relationship Id="rId40" Type="http://schemas.openxmlformats.org/officeDocument/2006/relationships/hyperlink" Target="https://static.wikia.nocookie.net/plantsvszombies/images/5/5d/E.M.Peach2.png/revision/latest?cb=20150519210717"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15" Type="http://schemas.openxmlformats.org/officeDocument/2006/relationships/hyperlink" Target="https://static.wikia.nocookie.net/plantsvszombies/images/3/3f/Goo_Peashooter2.png/revision/latest?cb=20200803162920" TargetMode="External"/><Relationship Id="rId131" Type="http://schemas.openxmlformats.org/officeDocument/2006/relationships/hyperlink" Target="https://static.wikia.nocookie.net/plantsvszombies/images/4/48/Tumbleweed2.png/revision/latest?cb=20200512045045" TargetMode="External"/><Relationship Id="rId136" Type="http://schemas.openxmlformats.org/officeDocument/2006/relationships/hyperlink" Target="https://static.wikia.nocookie.net/plantsvszombies/images/2/2d/Headbutter_Lettuce2.png/revision/latest?cb=20201030054125" TargetMode="External"/><Relationship Id="rId157" Type="http://schemas.openxmlformats.org/officeDocument/2006/relationships/hyperlink" Target="https://static.wikia.nocookie.net/plantsvszombies/images/1/1a/Levitater2.png/revision/latest?cb=20220614050517" TargetMode="External"/><Relationship Id="rId178" Type="http://schemas.openxmlformats.org/officeDocument/2006/relationships/hyperlink" Target="https://static.wikia.nocookie.net/plantsvszombies/images/5/55/Guard-shroom2.png/revision/latest?cb=20240227153646"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52" Type="http://schemas.openxmlformats.org/officeDocument/2006/relationships/hyperlink" Target="https://static.wikia.nocookie.net/plantsvszombies/images/2/2a/Blockoli2.png/revision/latest?cb=20220206062157" TargetMode="External"/><Relationship Id="rId173" Type="http://schemas.openxmlformats.org/officeDocument/2006/relationships/hyperlink" Target="https://static.wikia.nocookie.net/plantsvszombies/images/6/60/Bud%27uh_Boom2.png/revision/latest?cb=20231129165733" TargetMode="External"/><Relationship Id="rId19" Type="http://schemas.openxmlformats.org/officeDocument/2006/relationships/hyperlink" Target="https://static.wikia.nocookie.net/plantsvszombies/images/9/93/Cherry_Bomb2.png/revision/latest?cb=20221206063300" TargetMode="External"/><Relationship Id="rId14" Type="http://schemas.openxmlformats.org/officeDocument/2006/relationships/hyperlink" Target="https://static.wikia.nocookie.net/plantsvszombies/images/0/07/Spikeweed2.png/revision/latest?cb=20221206063052" TargetMode="External"/><Relationship Id="rId30" Type="http://schemas.openxmlformats.org/officeDocument/2006/relationships/hyperlink" Target="https://static.wikia.nocookie.net/plantsvszombies/images/a/ae/Stunion2.png/revision/latest?cb=20230219060147"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a/af/Noctarine2.png/revision/latest?cb=20210717084648" TargetMode="External"/><Relationship Id="rId168" Type="http://schemas.openxmlformats.org/officeDocument/2006/relationships/hyperlink" Target="https://static.wikia.nocookie.net/plantsvszombies/images/0/0e/Bamboo_Spartan2.png/revision/latest?cb=20230419024648" TargetMode="External"/><Relationship Id="rId8" Type="http://schemas.openxmlformats.org/officeDocument/2006/relationships/hyperlink" Target="https://static.wikia.nocookie.net/plantsvszombies/images/1/1d/Grave_Buster2.png/revision/latest?cb=20221126070428"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2/23/Boom_Balloon_Flower2.png/revision/latest?cb=20220221101417" TargetMode="External"/><Relationship Id="rId163" Type="http://schemas.openxmlformats.org/officeDocument/2006/relationships/hyperlink" Target="https://static.wikia.nocookie.net/plantsvszombies/images/0/02/Bzzz_Button2.png/revision/latest?cb=20230201230140" TargetMode="External"/><Relationship Id="rId184" Type="http://schemas.openxmlformats.org/officeDocument/2006/relationships/hyperlink" Target="https://static.wikia.nocookie.net/plantsvszombies/images/8/84/Frost_Bonnet2.png/revision/latest?cb=20241024014551" TargetMode="External"/><Relationship Id="rId3" Type="http://schemas.openxmlformats.org/officeDocument/2006/relationships/hyperlink" Target="https://static.wikia.nocookie.net/plantsvszombies/images/1/17/Wall-nut2.png/revision/latest?cb=20221126065345"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3/36/Boingsetta2.png/revision/latest?cb=20201030053226" TargetMode="External"/><Relationship Id="rId158" Type="http://schemas.openxmlformats.org/officeDocument/2006/relationships/hyperlink" Target="https://static.wikia.nocookie.net/plantsvszombies/images/d/d4/Tomb_Tangler2.png/revision/latest?cb=20220825052601"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f/f8/Puffball2.png/revision/latest?cb=20200627015218" TargetMode="External"/><Relationship Id="rId153" Type="http://schemas.openxmlformats.org/officeDocument/2006/relationships/hyperlink" Target="https://static.wikia.nocookie.net/plantsvszombies/images/6/64/Buttercup2.png/revision/latest?cb=20220205081753" TargetMode="External"/><Relationship Id="rId174" Type="http://schemas.openxmlformats.org/officeDocument/2006/relationships/hyperlink" Target="https://static.wikia.nocookie.net/plantsvszombies/images/7/77/Ice-shroom2.png/revision/latest?cb=20231123040702" TargetMode="External"/><Relationship Id="rId179" Type="http://schemas.openxmlformats.org/officeDocument/2006/relationships/hyperlink" Target="https://static.wikia.nocookie.net/plantsvszombies/images/4/47/Aqua_Vine2.png/revision/latest?cb=20240316065724"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78" Type="http://schemas.openxmlformats.org/officeDocument/2006/relationships/hyperlink" Target="https://static.wikia.nocookie.net/plantsvszombies/images/9/9a/Jack_O%27_Lantern2.png/revision/latest?cb=20160904215028" TargetMode="External"/><Relationship Id="rId94" Type="http://schemas.openxmlformats.org/officeDocument/2006/relationships/hyperlink" Target="https://static.wikia.nocookie.net/plantsvszombies/images/0/0f/Pea-nut2.png/revision/latest?cb=20150822204951"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a/a1/Pea_Vine2.png/revision/latest?cb=20210916020642" TargetMode="External"/><Relationship Id="rId148" Type="http://schemas.openxmlformats.org/officeDocument/2006/relationships/hyperlink" Target="https://static.wikia.nocookie.net/plantsvszombies/images/4/49/Heath_Seeker2.png/revision/latest?cb=20210916015504" TargetMode="External"/><Relationship Id="rId164" Type="http://schemas.openxmlformats.org/officeDocument/2006/relationships/hyperlink" Target="https://static.wikia.nocookie.net/plantsvszombies/images/a/a8/BoomBerry2.png/revision/latest?cb=20230201230214" TargetMode="External"/><Relationship Id="rId169" Type="http://schemas.openxmlformats.org/officeDocument/2006/relationships/hyperlink" Target="https://static.wikia.nocookie.net/plantsvszombies/images/9/9e/Sundew_Tangler2.png/revision/latest?cb=20230607011345" TargetMode="External"/><Relationship Id="rId185" Type="http://schemas.openxmlformats.org/officeDocument/2006/relationships/hyperlink" Target="https://static.wikia.nocookie.net/plantsvszombies/images/f/f0/Znake_Lily2.png/revision/latest?cb=20241011125933" TargetMode="External"/><Relationship Id="rId4" Type="http://schemas.openxmlformats.org/officeDocument/2006/relationships/hyperlink" Target="https://static.wikia.nocookie.net/plantsvszombies/images/a/a0/Potato_Mine2.png/revision/latest?cb=20221126065516" TargetMode="External"/><Relationship Id="rId9" Type="http://schemas.openxmlformats.org/officeDocument/2006/relationships/hyperlink" Target="https://static.wikia.nocookie.net/plantsvszombies/images/7/75/Bonk_Choy2.png/revision/latest?cb=20221126070903" TargetMode="External"/><Relationship Id="rId180" Type="http://schemas.openxmlformats.org/officeDocument/2006/relationships/hyperlink" Target="https://static.wikia.nocookie.net/plantsvszombies/images/d/de/Mangofier2.png/revision/latest?cb=20240316153318" TargetMode="External"/><Relationship Id="rId26" Type="http://schemas.openxmlformats.org/officeDocument/2006/relationships/hyperlink" Target="https://static.wikia.nocookie.net/plantsvszombies/images/2/24/Winter_Melon2.png/revision/latest?cb=20141116195910" TargetMode="Externa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5/54/Explode-o-Vine2.png/revision/latest?cb=20200803222649" TargetMode="External"/><Relationship Id="rId154" Type="http://schemas.openxmlformats.org/officeDocument/2006/relationships/hyperlink" Target="https://static.wikia.nocookie.net/plantsvszombies/images/f/fb/Bramble_Bush2.png/revision/latest?cb=20220404224349" TargetMode="External"/><Relationship Id="rId175" Type="http://schemas.openxmlformats.org/officeDocument/2006/relationships/hyperlink" Target="https://static.wikia.nocookie.net/plantsvszombies/images/a/a9/Dragon_Bruit2.png/revision/latest?cb=20231218173201" TargetMode="External"/><Relationship Id="rId16" Type="http://schemas.openxmlformats.org/officeDocument/2006/relationships/hyperlink" Target="https://static.wikia.nocookie.net/plantsvszombies/images/2/21/Coconut_Cannon2.png/revision/latest?cb=20221206063716"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7/7e/Inferno2.png/revision/latest?cb=20210916020513"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8/8f/SeaFlora2.png/revision/latest?cb=20230314003534" TargetMode="External"/><Relationship Id="rId186" Type="http://schemas.openxmlformats.org/officeDocument/2006/relationships/hyperlink" Target="https://static.wikia.nocookie.net/plantsvszombies/images/a/a4/Sweetheart_Snare2.png/revision/latest/scale-to-width-down/70?cb=20250121231122"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e/e6/Murkadamia_Nut2.png/revision/latest?cb=20220219133005"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6/Rhubarbarian2.png/revision/latest?cb=20220512063614" TargetMode="External"/><Relationship Id="rId176" Type="http://schemas.openxmlformats.org/officeDocument/2006/relationships/hyperlink" Target="https://static.wikia.nocookie.net/plantsvszombies/images/4/49/Electric_Peel2.png/revision/latest?cb=20240321225940"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9/96/Solar_Sage2.png/revision/latest?cb=20210621230624" TargetMode="External"/><Relationship Id="rId166" Type="http://schemas.openxmlformats.org/officeDocument/2006/relationships/hyperlink" Target="https://static.wikia.nocookie.net/plantsvszombies/images/3/38/MayBee2.png/revision/latest?cb=20230314003517" TargetMode="External"/><Relationship Id="rId187" Type="http://schemas.openxmlformats.org/officeDocument/2006/relationships/hyperlink" Target="https://static.wikia.nocookie.net/plantsvszombies/images/d/d0/Hammeruit2.png/revision/latest/scale-to-width-down/70?cb=20250108203307" TargetMode="External"/><Relationship Id="rId1" Type="http://schemas.openxmlformats.org/officeDocument/2006/relationships/hyperlink" Target="https://static.wikia.nocookie.net/plantsvszombies/images/c/ca/Peashooter2.png/revision/latest?cb=20221126065143"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60" Type="http://schemas.openxmlformats.org/officeDocument/2006/relationships/hyperlink" Target="https://static.wikia.nocookie.net/plantsvszombies/images/e/ec/Primal_Potato_Mine2.png/revision/latest?cb=20151215015144"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0/02/Turkey-pult2.png/revision/latest?cb=20200915155128" TargetMode="External"/><Relationship Id="rId156" Type="http://schemas.openxmlformats.org/officeDocument/2006/relationships/hyperlink" Target="https://static.wikia.nocookie.net/plantsvszombies/images/1/17/Mega_Gatling_Pea2.png/revision/latest?cb=20220907040154" TargetMode="External"/><Relationship Id="rId177" Type="http://schemas.openxmlformats.org/officeDocument/2006/relationships/hyperlink" Target="https://static.wikia.nocookie.net/plantsvszombies/images/d/dd/Sea-shroom2.png/revision/latest?cb=20240506102548"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static.wikia.nocookie.net/plantsvszombies/images/3/32/Flaming_PeaA.png/revision/latest?cb=20160403150613" TargetMode="External"/><Relationship Id="rId13" Type="http://schemas.openxmlformats.org/officeDocument/2006/relationships/hyperlink" Target="https://static.wikia.nocookie.net/plantsvszombies/images/8/84/Bamboo_Shoots3.png/revision/latest/scale-to-width-down/48?cb=20220505145717" TargetMode="External"/><Relationship Id="rId3" Type="http://schemas.openxmlformats.org/officeDocument/2006/relationships/hyperlink" Target="https://static.wikia.nocookie.net/plantsvszombies/images/1/18/Gold_Magnet1.png/revision/latest?cb=20170630021728" TargetMode="External"/><Relationship Id="rId7" Type="http://schemas.openxmlformats.org/officeDocument/2006/relationships/hyperlink" Target="https://static.wikia.nocookie.net/plantsvszombies/images/3/35/Magnet_PlantA.png/revision/latest?cb=20130521212819" TargetMode="External"/><Relationship Id="rId12" Type="http://schemas.openxmlformats.org/officeDocument/2006/relationships/hyperlink" Target="https://static.wikia.nocookie.net/plantsvszombies/images/0/04/BeeshooterA.png/revision/latest?cb=20130521192003" TargetMode="External"/><Relationship Id="rId2" Type="http://schemas.openxmlformats.org/officeDocument/2006/relationships/hyperlink" Target="https://static.wikia.nocookie.net/plantsvszombies/images/7/73/Marigold2.png/revision/latest?cb=20151230034649" TargetMode="External"/><Relationship Id="rId16" Type="http://schemas.openxmlformats.org/officeDocument/2006/relationships/table" Target="../tables/table4.xml"/><Relationship Id="rId1" Type="http://schemas.openxmlformats.org/officeDocument/2006/relationships/hyperlink" Target="https://static.wikia.nocookie.net/plantsvszombies/images/1/1d/Umbrella_Leaf3.png/revision/latest/scale-to-width-down/48?cb=20240620034801" TargetMode="External"/><Relationship Id="rId6" Type="http://schemas.openxmlformats.org/officeDocument/2006/relationships/hyperlink" Target="https://static.wikia.nocookie.net/plantsvszombies/images/3/32/BeetA.png/revision/latest?cb=20130510211801" TargetMode="External"/><Relationship Id="rId11" Type="http://schemas.openxmlformats.org/officeDocument/2006/relationships/hyperlink" Target="https://static.wikia.nocookie.net/plantsvszombies/images/1/1e/Sweet_PeaA.png/revision/latest?cb=20130718044149" TargetMode="External"/><Relationship Id="rId5" Type="http://schemas.openxmlformats.org/officeDocument/2006/relationships/hyperlink" Target="https://static.wikia.nocookie.net/plantsvszombies/images/0/02/PopcornA.png/revision/latest?cb=20130809003435" TargetMode="External"/><Relationship Id="rId15" Type="http://schemas.openxmlformats.org/officeDocument/2006/relationships/hyperlink" Target="https://static.wikia.nocookie.net/plantsvszombies/images/7/7e/Silversword3.png/revision/latest/scale-to-width-down/48?cb=20220406055054" TargetMode="External"/><Relationship Id="rId10" Type="http://schemas.openxmlformats.org/officeDocument/2006/relationships/hyperlink" Target="https://static.wikia.nocookie.net/plantsvszombies/images/6/66/Bamboo_ShootA.png/revision/latest?cb=20130524081642" TargetMode="External"/><Relationship Id="rId4" Type="http://schemas.openxmlformats.org/officeDocument/2006/relationships/hyperlink" Target="https://static.wikia.nocookie.net/plantsvszombies/images/6/6a/AspearagusA.png/revision/latest?cb=20130502101541" TargetMode="External"/><Relationship Id="rId9" Type="http://schemas.openxmlformats.org/officeDocument/2006/relationships/hyperlink" Target="https://static.wikia.nocookie.net/plantsvszombies/images/1/12/ShamrockA.png/revision/latest?cb=20130521213245" TargetMode="External"/><Relationship Id="rId14" Type="http://schemas.openxmlformats.org/officeDocument/2006/relationships/hyperlink" Target="https://static.wikia.nocookie.net/plantsvszombies/images/9/9d/Lychee3.png/revision/latest/scale-to-width-down/48?cb=2024111900215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static.wikia.nocookie.net/plantsvszombies/images/7/72/Lotus_Shooter2.png/revision/latest?cb=20230909021319" TargetMode="External"/><Relationship Id="rId117" Type="http://schemas.openxmlformats.org/officeDocument/2006/relationships/hyperlink" Target="https://static.wikia.nocookie.net/plantsvszombies/images/a/ac/Gramophone_Datura2.png/revision/latest?cb=20240901124249" TargetMode="External"/><Relationship Id="rId21" Type="http://schemas.openxmlformats.org/officeDocument/2006/relationships/hyperlink" Target="https://static.wikia.nocookie.net/plantsvszombies/images/a/ad/Primal_Rafflesia2.png/revision/latest?cb=20221220085823" TargetMode="External"/><Relationship Id="rId42" Type="http://schemas.openxmlformats.org/officeDocument/2006/relationships/hyperlink" Target="https://static.wikia.nocookie.net/plantsvszombies/images/1/18/Hat_Mushroom2.png/revision/latest?cb=20220729021042" TargetMode="External"/><Relationship Id="rId47" Type="http://schemas.openxmlformats.org/officeDocument/2006/relationships/hyperlink" Target="https://static.wikia.nocookie.net/plantsvszombies/images/5/51/Cryo-shroom2.png/revision/latest?cb=20230226070920" TargetMode="External"/><Relationship Id="rId63" Type="http://schemas.openxmlformats.org/officeDocument/2006/relationships/hyperlink" Target="https://static.wikia.nocookie.net/plantsvszombies/images/5/52/Angel_Starfruit2.png/revision/latest?cb=20190321155238" TargetMode="External"/><Relationship Id="rId68" Type="http://schemas.openxmlformats.org/officeDocument/2006/relationships/hyperlink" Target="https://static.wikia.nocookie.net/plantsvszombies/images/7/73/Cob_Cannon2C.png/revision/latest?cb=20170128062225" TargetMode="External"/><Relationship Id="rId84" Type="http://schemas.openxmlformats.org/officeDocument/2006/relationships/hyperlink" Target="https://static.wikia.nocookie.net/plantsvszombies/images/4/47/Splendens_Blade2.png/revision/latest?cb=20201212160706" TargetMode="External"/><Relationship Id="rId89" Type="http://schemas.openxmlformats.org/officeDocument/2006/relationships/hyperlink" Target="https://static.wikia.nocookie.net/plantsvszombies/images/7/75/Hammer_Flower2.png/revision/latest?cb=20211205022154" TargetMode="External"/><Relationship Id="rId112" Type="http://schemas.openxmlformats.org/officeDocument/2006/relationships/hyperlink" Target="https://static.wikia.nocookie.net/plantsvszombies/images/5/50/Heliconia_Gunner2.png/revision/latest?cb=20240312005444" TargetMode="External"/><Relationship Id="rId16" Type="http://schemas.openxmlformats.org/officeDocument/2006/relationships/hyperlink" Target="https://static.wikia.nocookie.net/plantsvszombies/images/2/2e/Groundcherry2.png/revision/latest?cb=20221226045026" TargetMode="External"/><Relationship Id="rId107" Type="http://schemas.openxmlformats.org/officeDocument/2006/relationships/hyperlink" Target="https://static.wikia.nocookie.net/plantsvszombies/images/a/a6/Hoya_Heart2.png/revision/latest?cb=20230903215635" TargetMode="External"/><Relationship Id="rId11" Type="http://schemas.openxmlformats.org/officeDocument/2006/relationships/hyperlink" Target="https://static.wikia.nocookie.net/plantsvszombies/images/2/20/Whirlwind_Acorn2.png/revision/latest?cb=20160818132726" TargetMode="External"/><Relationship Id="rId32" Type="http://schemas.openxmlformats.org/officeDocument/2006/relationships/hyperlink" Target="https://static.wikia.nocookie.net/plantsvszombies/images/5/52/Bearberry_Mortar2.png/revision/latest?cb=20190926013605" TargetMode="External"/><Relationship Id="rId37" Type="http://schemas.openxmlformats.org/officeDocument/2006/relationships/hyperlink" Target="https://static.wikia.nocookie.net/plantsvszombies/images/f/fd/Dendrobium_Windbreak2.png/revision/latest?cb=20210207112655" TargetMode="External"/><Relationship Id="rId53" Type="http://schemas.openxmlformats.org/officeDocument/2006/relationships/hyperlink" Target="https://static.wikia.nocookie.net/plantsvszombies/images/c/c8/Bamboo_Bro2.png/revision/latest?cb=20210513062720" TargetMode="External"/><Relationship Id="rId58" Type="http://schemas.openxmlformats.org/officeDocument/2006/relationships/hyperlink" Target="https://static.wikia.nocookie.net/plantsvszombies/images/5/57/Snow_Cotton2.png/revision/latest?cb=20210905073138" TargetMode="External"/><Relationship Id="rId74" Type="http://schemas.openxmlformats.org/officeDocument/2006/relationships/hyperlink" Target="https://static.wikia.nocookie.net/plantsvszombies/images/5/5b/Dual_Pistol_Pinecone2.png/revision/latest?cb=20221216013432" TargetMode="External"/><Relationship Id="rId79" Type="http://schemas.openxmlformats.org/officeDocument/2006/relationships/hyperlink" Target="https://static.wikia.nocookie.net/plantsvszombies/images/a/ae/Egret_Flower_Plane2.png/revision/latest?cb=20200114205809" TargetMode="External"/><Relationship Id="rId102" Type="http://schemas.openxmlformats.org/officeDocument/2006/relationships/hyperlink" Target="https://static.wikia.nocookie.net/plantsvszombies/images/c/ce/Cranesbill_Fencer2.png/revision/latest?cb=20230430190734" TargetMode="External"/><Relationship Id="rId5" Type="http://schemas.openxmlformats.org/officeDocument/2006/relationships/hyperlink" Target="https://static.wikia.nocookie.net/plantsvszombies/images/6/69/Oak_Archer2.png/revision/latest?cb=20150322200617" TargetMode="External"/><Relationship Id="rId90" Type="http://schemas.openxmlformats.org/officeDocument/2006/relationships/hyperlink" Target="https://static.wikia.nocookie.net/plantsvszombies/images/9/9f/Fishhook_Grass2.png/revision/latest?cb=20211205022802" TargetMode="External"/><Relationship Id="rId95" Type="http://schemas.openxmlformats.org/officeDocument/2006/relationships/hyperlink" Target="https://static.wikia.nocookie.net/plantsvszombies/images/a/a7/Laser_Crown_Flower2.png/revision/latest?cb=20221001055728" TargetMode="External"/><Relationship Id="rId22" Type="http://schemas.openxmlformats.org/officeDocument/2006/relationships/hyperlink" Target="https://static.wikia.nocookie.net/plantsvszombies/images/a/ad/Dino-Roar_Grass2.png/revision/latest?cb=20190705052324" TargetMode="External"/><Relationship Id="rId27" Type="http://schemas.openxmlformats.org/officeDocument/2006/relationships/hyperlink" Target="https://static.wikia.nocookie.net/plantsvszombies/images/7/76/Maypop_Mechanic2.png/revision/latest?cb=20190319131928" TargetMode="External"/><Relationship Id="rId43" Type="http://schemas.openxmlformats.org/officeDocument/2006/relationships/hyperlink" Target="https://static.wikia.nocookie.net/plantsvszombies/images/7/7a/Ents2.png/revision/latest?cb=20220729021122" TargetMode="External"/><Relationship Id="rId48" Type="http://schemas.openxmlformats.org/officeDocument/2006/relationships/hyperlink" Target="https://static.wikia.nocookie.net/plantsvszombies/images/e/e1/Carrotillery2.png/revision/latest?cb=20190321155305" TargetMode="External"/><Relationship Id="rId64" Type="http://schemas.openxmlformats.org/officeDocument/2006/relationships/hyperlink" Target="https://static.wikia.nocookie.net/plantsvszombies/images/2/2c/Gatling_Pea2.png/revision/latest?cb=20220323010447" TargetMode="External"/><Relationship Id="rId69" Type="http://schemas.openxmlformats.org/officeDocument/2006/relationships/hyperlink" Target="https://static.wikia.nocookie.net/plantsvszombies/images/0/0a/White_Melon_Sumo_Wrestler2.png/revision/latest?cb=20170701025441" TargetMode="External"/><Relationship Id="rId113" Type="http://schemas.openxmlformats.org/officeDocument/2006/relationships/hyperlink" Target="https://static.wikia.nocookie.net/plantsvszombies/images/d/db/Thorn_Wizard2.png/revision/latest?cb=20240423072847" TargetMode="External"/><Relationship Id="rId118" Type="http://schemas.openxmlformats.org/officeDocument/2006/relationships/hyperlink" Target="https://static.wikia.nocookie.net/plantsvszombies/images/3/33/Crazy_Firecracker_Flower2.png/revision/latest?cb=20240901124501" TargetMode="External"/><Relationship Id="rId80" Type="http://schemas.openxmlformats.org/officeDocument/2006/relationships/hyperlink" Target="https://static.wikia.nocookie.net/plantsvszombies/images/5/5d/Elaeocarpus-pult2.png/revision/latest?cb=20200418155447" TargetMode="External"/><Relationship Id="rId85" Type="http://schemas.openxmlformats.org/officeDocument/2006/relationships/hyperlink" Target="https://static.wikia.nocookie.net/plantsvszombies/images/6/6a/Earthstar_Nuclear_Silo2.png/revision/latest?cb=20210526043408" TargetMode="External"/><Relationship Id="rId12" Type="http://schemas.openxmlformats.org/officeDocument/2006/relationships/hyperlink" Target="https://static.wikia.nocookie.net/plantsvszombies/images/9/98/Loquat2.png/revision/latest?cb=20221226045117" TargetMode="External"/><Relationship Id="rId17" Type="http://schemas.openxmlformats.org/officeDocument/2006/relationships/hyperlink" Target="https://static.wikia.nocookie.net/plantsvszombies/images/3/3f/Anthurium2.png/revision/latest?cb=20221226044948" TargetMode="External"/><Relationship Id="rId33" Type="http://schemas.openxmlformats.org/officeDocument/2006/relationships/hyperlink" Target="https://static.wikia.nocookie.net/plantsvszombies/images/c/c9/Wax_Gourd_Guard2.png/revision/latest?cb=20190926013735" TargetMode="External"/><Relationship Id="rId38" Type="http://schemas.openxmlformats.org/officeDocument/2006/relationships/hyperlink" Target="https://static.wikia.nocookie.net/plantsvszombies/images/d/da/Stephania2.png/revision/latest?cb=20210207105812" TargetMode="External"/><Relationship Id="rId59" Type="http://schemas.openxmlformats.org/officeDocument/2006/relationships/hyperlink" Target="https://static.wikia.nocookie.net/plantsvszombies/images/e/e6/Agave2.png/revision/latest?cb=20211112011234" TargetMode="External"/><Relationship Id="rId103" Type="http://schemas.openxmlformats.org/officeDocument/2006/relationships/hyperlink" Target="https://static.wikia.nocookie.net/plantsvszombies/images/6/65/Gorgon_Pitcher2.png/revision/latest?cb=20230526001308" TargetMode="External"/><Relationship Id="rId108" Type="http://schemas.openxmlformats.org/officeDocument/2006/relationships/hyperlink" Target="https://static.wikia.nocookie.net/plantsvszombies/images/5/58/Oilseed-pult2.png/revision/latest?cb=20230926000742" TargetMode="External"/><Relationship Id="rId54" Type="http://schemas.openxmlformats.org/officeDocument/2006/relationships/hyperlink" Target="https://static.wikia.nocookie.net/plantsvszombies/images/0/0f/Magic-shroom2.png/revision/latest?cb=20190714144506" TargetMode="External"/><Relationship Id="rId70" Type="http://schemas.openxmlformats.org/officeDocument/2006/relationships/hyperlink" Target="https://static.wikia.nocookie.net/plantsvszombies/images/f/fb/Icy_Currant2.png/revision/latest?cb=20230226051255" TargetMode="External"/><Relationship Id="rId75" Type="http://schemas.openxmlformats.org/officeDocument/2006/relationships/hyperlink" Target="https://static.wikia.nocookie.net/plantsvszombies/images/a/a0/Narcissus_Shooter2.png/revision/latest?cb=20181202123451" TargetMode="External"/><Relationship Id="rId91" Type="http://schemas.openxmlformats.org/officeDocument/2006/relationships/hyperlink" Target="https://static.wikia.nocookie.net/plantsvszombies/images/d/d7/Mangosteen2.png/revision/latest?cb=20211222225341" TargetMode="External"/><Relationship Id="rId96" Type="http://schemas.openxmlformats.org/officeDocument/2006/relationships/hyperlink" Target="https://static.wikia.nocookie.net/plantsvszombies/images/3/39/Orchid_Mage2.png/revision/latest?cb=20221109070331" TargetMode="External"/><Relationship Id="rId1" Type="http://schemas.openxmlformats.org/officeDocument/2006/relationships/hyperlink" Target="https://static.wikia.nocookie.net/plantsvszombies/images/7/72/Resistant_Radish2.png/revision/latest?cb=20150805183002" TargetMode="External"/><Relationship Id="rId6" Type="http://schemas.openxmlformats.org/officeDocument/2006/relationships/hyperlink" Target="https://static.wikia.nocookie.net/plantsvszombies/images/e/e7/Coffee_Bean2.png/revision/latest?cb=20150322201447" TargetMode="External"/><Relationship Id="rId23" Type="http://schemas.openxmlformats.org/officeDocument/2006/relationships/hyperlink" Target="https://static.wikia.nocookie.net/plantsvszombies/images/d/d4/Timid_Thorns2.png/revision/latest?cb=20221215222719" TargetMode="External"/><Relationship Id="rId28" Type="http://schemas.openxmlformats.org/officeDocument/2006/relationships/hyperlink" Target="https://static.wikia.nocookie.net/plantsvszombies/images/6/6e/Wind-Blowing_Vanilla2.png/revision/latest?cb=20180825120100" TargetMode="External"/><Relationship Id="rId49" Type="http://schemas.openxmlformats.org/officeDocument/2006/relationships/hyperlink" Target="https://static.wikia.nocookie.net/plantsvszombies/images/4/47/Strong_Broccoli2.png/revision/latest?cb=20240605051128" TargetMode="External"/><Relationship Id="rId114" Type="http://schemas.openxmlformats.org/officeDocument/2006/relationships/hyperlink" Target="https://static.wikia.nocookie.net/plantsvszombies/images/6/61/Cactus_Mistletoe2.png/revision/latest?cb=20240523193645" TargetMode="External"/><Relationship Id="rId119" Type="http://schemas.openxmlformats.org/officeDocument/2006/relationships/hyperlink" Target="https://static.wikia.nocookie.net/plantsvszombies/images/2/2d/Lunisolar_Honeysuckle2.png/revision/latest?cb=20241028203916" TargetMode="External"/><Relationship Id="rId44" Type="http://schemas.openxmlformats.org/officeDocument/2006/relationships/hyperlink" Target="https://static.wikia.nocookie.net/plantsvszombies/images/8/85/Princess_Spring_Grass2.png/revision/latest?cb=20220729021016" TargetMode="External"/><Relationship Id="rId60" Type="http://schemas.openxmlformats.org/officeDocument/2006/relationships/hyperlink" Target="https://static.wikia.nocookie.net/plantsvszombies/images/b/bc/Kiwifruit2.png/revision/latest?cb=20221216040045" TargetMode="External"/><Relationship Id="rId65" Type="http://schemas.openxmlformats.org/officeDocument/2006/relationships/hyperlink" Target="https://static.wikia.nocookie.net/plantsvszombies/images/9/91/Banksia_Boxer2.png/revision/latest?cb=20221208011223" TargetMode="External"/><Relationship Id="rId81" Type="http://schemas.openxmlformats.org/officeDocument/2006/relationships/hyperlink" Target="https://static.wikia.nocookie.net/plantsvszombies/images/d/d2/Water_Chestnut_Brothers2.png/revision/latest?cb=20200716201954" TargetMode="External"/><Relationship Id="rId86" Type="http://schemas.openxmlformats.org/officeDocument/2006/relationships/hyperlink" Target="https://static.wikia.nocookie.net/plantsvszombies/images/b/bb/Celebration_Soda_Palm2.png/revision/latest?cb=20210816072216" TargetMode="External"/><Relationship Id="rId4" Type="http://schemas.openxmlformats.org/officeDocument/2006/relationships/hyperlink" Target="https://static.wikia.nocookie.net/plantsvszombies/images/2/2c/Bamboo_Shoot2.png/revision/latest?cb=20230331050619" TargetMode="External"/><Relationship Id="rId9" Type="http://schemas.openxmlformats.org/officeDocument/2006/relationships/hyperlink" Target="https://static.wikia.nocookie.net/plantsvszombies/images/5/57/Lotus_Pod2.png/revision/latest?cb=20150517073958" TargetMode="External"/><Relationship Id="rId13" Type="http://schemas.openxmlformats.org/officeDocument/2006/relationships/hyperlink" Target="https://static.wikia.nocookie.net/plantsvszombies/images/c/cf/Asparagus2.png/revision/latest?cb=20221225063419" TargetMode="External"/><Relationship Id="rId18" Type="http://schemas.openxmlformats.org/officeDocument/2006/relationships/hyperlink" Target="https://static.wikia.nocookie.net/plantsvszombies/images/f/f7/Pineapple2.png/revision/latest?cb=20221226013615" TargetMode="External"/><Relationship Id="rId39" Type="http://schemas.openxmlformats.org/officeDocument/2006/relationships/hyperlink" Target="https://static.wikia.nocookie.net/plantsvszombies/images/d/d6/Tupistra_Stalker2.png/revision/latest?cb=20210207112128" TargetMode="External"/><Relationship Id="rId109" Type="http://schemas.openxmlformats.org/officeDocument/2006/relationships/hyperlink" Target="https://static.wikia.nocookie.net/plantsvszombies/images/d/d8/Leaf-Blade_Dracaena2.png/revision/latest?cb=20231115171036" TargetMode="External"/><Relationship Id="rId34" Type="http://schemas.openxmlformats.org/officeDocument/2006/relationships/hyperlink" Target="https://static.wikia.nocookie.net/plantsvszombies/images/2/2e/Oily_Olive2.png/revision/latest?cb=20191214184514" TargetMode="External"/><Relationship Id="rId50" Type="http://schemas.openxmlformats.org/officeDocument/2006/relationships/hyperlink" Target="https://static.wikia.nocookie.net/plantsvszombies/images/d/d1/Machine_Gun_Pomegranate2.png/revision/latest?cb=20190714181437" TargetMode="External"/><Relationship Id="rId55" Type="http://schemas.openxmlformats.org/officeDocument/2006/relationships/hyperlink" Target="https://static.wikia.nocookie.net/plantsvszombies/images/e/e5/Mischief_Radish2.png/revision/latest?cb=20230111005136" TargetMode="External"/><Relationship Id="rId76" Type="http://schemas.openxmlformats.org/officeDocument/2006/relationships/hyperlink" Target="https://static.wikia.nocookie.net/plantsvszombies/images/0/0f/Alarm_Explosive_Arrowhead2.png/revision/latest?cb=20190131143929" TargetMode="External"/><Relationship Id="rId97" Type="http://schemas.openxmlformats.org/officeDocument/2006/relationships/hyperlink" Target="https://static.wikia.nocookie.net/plantsvszombies/images/b/b9/Twin_Year_of_the_Rabbits2.png/revision/latest?cb=20230129074906" TargetMode="External"/><Relationship Id="rId104" Type="http://schemas.openxmlformats.org/officeDocument/2006/relationships/hyperlink" Target="https://static.wikia.nocookie.net/plantsvszombies/images/4/47/Abyss_Anemone2.png/revision/latest?cb=20230707001419" TargetMode="External"/><Relationship Id="rId120" Type="http://schemas.openxmlformats.org/officeDocument/2006/relationships/hyperlink" Target="https://static.wikia.nocookie.net/plantsvszombies/images/9/99/Frost_Rambutan2.png/revision/latest?cb=20241113015534" TargetMode="External"/><Relationship Id="rId7" Type="http://schemas.openxmlformats.org/officeDocument/2006/relationships/hyperlink" Target="https://static.wikia.nocookie.net/plantsvszombies/images/c/c6/Plantern2.png/revision/latest?cb=20150714005549" TargetMode="External"/><Relationship Id="rId71" Type="http://schemas.openxmlformats.org/officeDocument/2006/relationships/hyperlink" Target="https://static.wikia.nocookie.net/plantsvszombies/images/5/54/Tulip_Trumpeter2.png/revision/latest?cb=20180330233219" TargetMode="External"/><Relationship Id="rId92" Type="http://schemas.openxmlformats.org/officeDocument/2006/relationships/hyperlink" Target="https://static.wikia.nocookie.net/plantsvszombies/images/f/f7/Tigerstool2.png/revision/latest?cb=20220125215427" TargetMode="External"/><Relationship Id="rId2" Type="http://schemas.openxmlformats.org/officeDocument/2006/relationships/hyperlink" Target="https://static.wikia.nocookie.net/plantsvszombies/images/6/6e/Fire_Gourd2.png/revision/latest?cb=20230918030431" TargetMode="External"/><Relationship Id="rId29" Type="http://schemas.openxmlformats.org/officeDocument/2006/relationships/hyperlink" Target="https://static.wikia.nocookie.net/plantsvszombies/images/a/ad/Convallaria_Pharmacist2.png/revision/latest?cb=20190217205325" TargetMode="External"/><Relationship Id="rId24" Type="http://schemas.openxmlformats.org/officeDocument/2006/relationships/hyperlink" Target="https://static.wikia.nocookie.net/plantsvszombies/images/2/22/Sugarcane_Master2.png/revision/latest?cb=20221220085223" TargetMode="External"/><Relationship Id="rId40" Type="http://schemas.openxmlformats.org/officeDocument/2006/relationships/hyperlink" Target="https://static.wikia.nocookie.net/plantsvszombies/images/6/63/Chef_Cypripedium2.png/revision/latest?cb=20210207112340" TargetMode="External"/><Relationship Id="rId45" Type="http://schemas.openxmlformats.org/officeDocument/2006/relationships/hyperlink" Target="https://static.wikia.nocookie.net/plantsvszombies/images/1/17/Bamboo_Trooper2.png/revision/latest?cb=20220728220644" TargetMode="External"/><Relationship Id="rId66" Type="http://schemas.openxmlformats.org/officeDocument/2006/relationships/hyperlink" Target="https://static.wikia.nocookie.net/plantsvszombies/images/f/f8/Flame_Flower_Queen2.png/revision/latest?cb=20221208001810" TargetMode="External"/><Relationship Id="rId87" Type="http://schemas.openxmlformats.org/officeDocument/2006/relationships/hyperlink" Target="https://static.wikia.nocookie.net/plantsvszombies/images/0/0c/Impatiens_Shooter2.png/revision/latest?cb=20211018030240" TargetMode="External"/><Relationship Id="rId110" Type="http://schemas.openxmlformats.org/officeDocument/2006/relationships/hyperlink" Target="https://static.wikia.nocookie.net/plantsvszombies/images/6/62/Sunshine_Leek2.png/revision/latest?cb=20231228004246" TargetMode="External"/><Relationship Id="rId115" Type="http://schemas.openxmlformats.org/officeDocument/2006/relationships/hyperlink" Target="https://static.wikia.nocookie.net/plantsvszombies/images/3/36/Sawblade_Sundew2.png/revision/latest?cb=20240523204137" TargetMode="External"/><Relationship Id="rId61" Type="http://schemas.openxmlformats.org/officeDocument/2006/relationships/hyperlink" Target="https://static.wikia.nocookie.net/plantsvszombies/images/c/c0/Pretty_Plum2.png/revision/latest?cb=20170130043820" TargetMode="External"/><Relationship Id="rId82" Type="http://schemas.openxmlformats.org/officeDocument/2006/relationships/hyperlink" Target="https://static.wikia.nocookie.net/plantsvszombies/images/8/88/Dollarweed_Drummer2.png/revision/latest?cb=20201226065335" TargetMode="External"/><Relationship Id="rId19" Type="http://schemas.openxmlformats.org/officeDocument/2006/relationships/hyperlink" Target="https://static.wikia.nocookie.net/plantsvszombies/images/c/c1/Jackfruit2.png/revision/latest?cb=20160122031402" TargetMode="External"/><Relationship Id="rId14" Type="http://schemas.openxmlformats.org/officeDocument/2006/relationships/hyperlink" Target="https://static.wikia.nocookie.net/plantsvszombies/images/f/f3/Saucer2.png/revision/latest?cb=20221226045102" TargetMode="External"/><Relationship Id="rId30" Type="http://schemas.openxmlformats.org/officeDocument/2006/relationships/hyperlink" Target="https://static.wikia.nocookie.net/plantsvszombies/images/a/a5/Mulberry_Blaster2.png/revision/latest?cb=20190321155348" TargetMode="External"/><Relationship Id="rId35" Type="http://schemas.openxmlformats.org/officeDocument/2006/relationships/hyperlink" Target="https://static.wikia.nocookie.net/plantsvszombies/images/e/ee/Jeweler_Pomegranate2.png/revision/latest?cb=20191215184623" TargetMode="External"/><Relationship Id="rId56" Type="http://schemas.openxmlformats.org/officeDocument/2006/relationships/hyperlink" Target="https://static.wikia.nocookie.net/plantsvszombies/images/b/b0/Pumpkin_Witch2.png/revision/latest?cb=20220307174545" TargetMode="External"/><Relationship Id="rId77" Type="http://schemas.openxmlformats.org/officeDocument/2006/relationships/hyperlink" Target="https://static.wikia.nocookie.net/plantsvszombies/images/c/c8/Crystal_Orchid2.png/revision/latest?cb=20230222040307" TargetMode="External"/><Relationship Id="rId100" Type="http://schemas.openxmlformats.org/officeDocument/2006/relationships/hyperlink" Target="https://static.wikia.nocookie.net/plantsvszombies/images/e/e0/Burdock_Batter2.png/revision/latest?cb=20230309021850" TargetMode="External"/><Relationship Id="rId105" Type="http://schemas.openxmlformats.org/officeDocument/2006/relationships/hyperlink" Target="https://static.wikia.nocookie.net/plantsvszombies/images/4/41/Parkour_Mandrake2.png/revision/latest?cb=20230707000354" TargetMode="External"/><Relationship Id="rId8" Type="http://schemas.openxmlformats.org/officeDocument/2006/relationships/hyperlink" Target="https://static.wikia.nocookie.net/plantsvszombies/images/e/e9/Acid_Lemon2.png/revision/latest?cb=20150805184227" TargetMode="External"/><Relationship Id="rId51" Type="http://schemas.openxmlformats.org/officeDocument/2006/relationships/hyperlink" Target="https://static.wikia.nocookie.net/plantsvszombies/images/3/3f/Landlord_Bamboo2.png/revision/latest?cb=20160818132722" TargetMode="External"/><Relationship Id="rId72" Type="http://schemas.openxmlformats.org/officeDocument/2006/relationships/hyperlink" Target="https://static.wikia.nocookie.net/plantsvszombies/images/5/55/Eggplant_Ninja2.png/revision/latest?cb=20230226051118" TargetMode="External"/><Relationship Id="rId93" Type="http://schemas.openxmlformats.org/officeDocument/2006/relationships/hyperlink" Target="https://static.wikia.nocookie.net/plantsvszombies/images/f/f1/Gardener_Grass2.png/revision/latest?cb=20220311003749" TargetMode="External"/><Relationship Id="rId98" Type="http://schemas.openxmlformats.org/officeDocument/2006/relationships/hyperlink" Target="https://static.wikia.nocookie.net/plantsvszombies/images/e/e9/Pea_Pharmacist2.png/revision/latest?cb=20230129074812" TargetMode="External"/><Relationship Id="rId121" Type="http://schemas.openxmlformats.org/officeDocument/2006/relationships/table" Target="../tables/table5.xml"/><Relationship Id="rId3" Type="http://schemas.openxmlformats.org/officeDocument/2006/relationships/hyperlink" Target="https://static.wikia.nocookie.net/plantsvszombies/images/5/54/Heavenly_Peach2.png/revision/latest?cb=20230402051504" TargetMode="External"/><Relationship Id="rId25" Type="http://schemas.openxmlformats.org/officeDocument/2006/relationships/hyperlink" Target="https://static.wikia.nocookie.net/plantsvszombies/images/d/dd/Flat-shroom2.png/revision/latest?cb=20180825114906" TargetMode="External"/><Relationship Id="rId46" Type="http://schemas.openxmlformats.org/officeDocument/2006/relationships/hyperlink" Target="https://static.wikia.nocookie.net/plantsvszombies/images/a/a1/Pyro-shroom2.png/revision/latest?cb=20230226070859" TargetMode="External"/><Relationship Id="rId67" Type="http://schemas.openxmlformats.org/officeDocument/2006/relationships/hyperlink" Target="https://static.wikia.nocookie.net/plantsvszombies/images/b/ba/Cattail2.png/revision/latest?cb=20210908084210" TargetMode="External"/><Relationship Id="rId116" Type="http://schemas.openxmlformats.org/officeDocument/2006/relationships/hyperlink" Target="https://static.wikia.nocookie.net/plantsvszombies/images/3/3d/Electric_Tailgrape2.png/revision/latest?cb=20240711013633" TargetMode="External"/><Relationship Id="rId20" Type="http://schemas.openxmlformats.org/officeDocument/2006/relationships/hyperlink" Target="https://static.wikia.nocookie.net/plantsvszombies/images/2/2d/Morning_Glory2.png/revision/latest?cb=20221226051932" TargetMode="External"/><Relationship Id="rId41" Type="http://schemas.openxmlformats.org/officeDocument/2006/relationships/hyperlink" Target="https://static.wikia.nocookie.net/plantsvszombies/images/a/ae/Boophone_Geigi2.png/revision/latest?cb=20210413014707" TargetMode="External"/><Relationship Id="rId62" Type="http://schemas.openxmlformats.org/officeDocument/2006/relationships/hyperlink" Target="https://static.wikia.nocookie.net/plantsvszombies/images/6/64/Dragonfruit2.png/revision/latest?cb=20180312024046" TargetMode="External"/><Relationship Id="rId83" Type="http://schemas.openxmlformats.org/officeDocument/2006/relationships/hyperlink" Target="https://static.wikia.nocookie.net/plantsvszombies/images/e/e5/Shadow_Vanilla2.png/revision/latest?cb=20210728071427" TargetMode="External"/><Relationship Id="rId88" Type="http://schemas.openxmlformats.org/officeDocument/2006/relationships/hyperlink" Target="https://static.wikia.nocookie.net/plantsvszombies/images/5/59/Tiger_Claw2.png/revision/latest?cb=20211018033803" TargetMode="External"/><Relationship Id="rId111" Type="http://schemas.openxmlformats.org/officeDocument/2006/relationships/hyperlink" Target="https://static.wikia.nocookie.net/plantsvszombies/images/f/f1/Gluttonous_Snapdragon2.png/revision/latest?cb=20240202052734" TargetMode="External"/><Relationship Id="rId15" Type="http://schemas.openxmlformats.org/officeDocument/2006/relationships/hyperlink" Target="https://static.wikia.nocookie.net/plantsvszombies/images/6/63/Horsebean2.png/revision/latest?cb=20221226045045" TargetMode="External"/><Relationship Id="rId36" Type="http://schemas.openxmlformats.org/officeDocument/2006/relationships/hyperlink" Target="https://static.wikia.nocookie.net/plantsvszombies/images/6/6b/Dripping_Diphylleia2.png/revision/latest?cb=20210125075450" TargetMode="External"/><Relationship Id="rId57" Type="http://schemas.openxmlformats.org/officeDocument/2006/relationships/hyperlink" Target="https://static.wikia.nocookie.net/plantsvszombies/images/6/6c/Sunflower_Singer2.png/revision/latest?cb=20221208003802" TargetMode="External"/><Relationship Id="rId106" Type="http://schemas.openxmlformats.org/officeDocument/2006/relationships/hyperlink" Target="https://static.wikia.nocookie.net/plantsvszombies/images/8/8c/Abyss_Devil%27s_Claw2.png/revision/latest?cb=20230915022000" TargetMode="External"/><Relationship Id="rId10" Type="http://schemas.openxmlformats.org/officeDocument/2006/relationships/hyperlink" Target="https://static.wikia.nocookie.net/plantsvszombies/images/2/2a/Rafflesia2.png/revision/latest?cb=20151031192058" TargetMode="External"/><Relationship Id="rId31" Type="http://schemas.openxmlformats.org/officeDocument/2006/relationships/hyperlink" Target="https://static.wikia.nocookie.net/plantsvszombies/images/d/db/Rose_Swordfighter2.png/revision/latest?cb=20200803061104" TargetMode="External"/><Relationship Id="rId52" Type="http://schemas.openxmlformats.org/officeDocument/2006/relationships/hyperlink" Target="https://static.wikia.nocookie.net/plantsvszombies/images/f/fa/Chestnut_Squad2.png/revision/latest?cb=20170210131218" TargetMode="External"/><Relationship Id="rId73" Type="http://schemas.openxmlformats.org/officeDocument/2006/relationships/hyperlink" Target="https://static.wikia.nocookie.net/plantsvszombies/images/7/73/Banana_Dancer2.png/revision/latest?cb=20200519051649" TargetMode="External"/><Relationship Id="rId78" Type="http://schemas.openxmlformats.org/officeDocument/2006/relationships/hyperlink" Target="https://static.wikia.nocookie.net/plantsvszombies/images/e/e9/Thunder_Snapdragon2.png/revision/latest?cb=20190810152622" TargetMode="External"/><Relationship Id="rId94" Type="http://schemas.openxmlformats.org/officeDocument/2006/relationships/hyperlink" Target="https://static.wikia.nocookie.net/plantsvszombies/images/6/63/Byttneria_Meteor_Hammer2.png/revision/latest?cb=20221001234422" TargetMode="External"/><Relationship Id="rId99" Type="http://schemas.openxmlformats.org/officeDocument/2006/relationships/hyperlink" Target="https://static.wikia.nocookie.net/plantsvszombies/images/b/b1/Pike_Hoya2.png/revision/latest?cb=20230129074720" TargetMode="External"/><Relationship Id="rId101" Type="http://schemas.openxmlformats.org/officeDocument/2006/relationships/hyperlink" Target="https://static.wikia.nocookie.net/plantsvszombies/images/3/30/Capaci-cone2.png/revision/latest?cb=20230430190812"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99" Type="http://schemas.openxmlformats.org/officeDocument/2006/relationships/hyperlink" Target="https://static.wikia.nocookie.net/plantsvszombies/images/3/39/Orchid_Mage2.png/revision/latest?cb=20221109070331" TargetMode="External"/><Relationship Id="rId21" Type="http://schemas.openxmlformats.org/officeDocument/2006/relationships/hyperlink" Target="https://static.wikia.nocookie.net/plantsvszombies/images/a/a1/Chili_Bean2.png/revision/latest?cb=20160827004139" TargetMode="External"/><Relationship Id="rId63" Type="http://schemas.openxmlformats.org/officeDocument/2006/relationships/hyperlink" Target="https://static.wikia.nocookie.net/plantsvszombies/images/9/96/Guacodile2.png/revision/latest?cb=20160818024252" TargetMode="External"/><Relationship Id="rId159" Type="http://schemas.openxmlformats.org/officeDocument/2006/relationships/hyperlink" Target="https://static.wikia.nocookie.net/plantsvszombies/images/d/d4/Tomb_Tangler2.png/revision/latest?cb=20220825052601" TargetMode="External"/><Relationship Id="rId170" Type="http://schemas.openxmlformats.org/officeDocument/2006/relationships/hyperlink" Target="https://static.wikia.nocookie.net/plantsvszombies/images/9/9e/Sundew_Tangler2.png/revision/latest?cb=20230607011345" TargetMode="External"/><Relationship Id="rId226" Type="http://schemas.openxmlformats.org/officeDocument/2006/relationships/hyperlink" Target="https://static.wikia.nocookie.net/plantsvszombies/images/d/d4/Timid_Thorns2.png/revision/latest?cb=20221215222719" TargetMode="External"/><Relationship Id="rId268" Type="http://schemas.openxmlformats.org/officeDocument/2006/relationships/hyperlink" Target="https://static.wikia.nocookie.net/plantsvszombies/images/9/91/Banksia_Boxer2.png/revision/latest?cb=20221208011223" TargetMode="External"/><Relationship Id="rId32" Type="http://schemas.openxmlformats.org/officeDocument/2006/relationships/hyperlink" Target="https://static.wikia.nocookie.net/plantsvszombies/images/6/66/Red_Stinger2.png/revision/latest?cb=20160914232205"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5" Type="http://schemas.openxmlformats.org/officeDocument/2006/relationships/hyperlink" Target="https://static.wikia.nocookie.net/plantsvszombies/images/7/76/Cabbage-pult2.png/revision/latest?cb=20221206062917" TargetMode="External"/><Relationship Id="rId181" Type="http://schemas.openxmlformats.org/officeDocument/2006/relationships/hyperlink" Target="https://static.wikia.nocookie.net/plantsvszombies/images/d/de/Mangofier2.png/revision/latest?cb=20240316153318" TargetMode="External"/><Relationship Id="rId237" Type="http://schemas.openxmlformats.org/officeDocument/2006/relationships/hyperlink" Target="https://static.wikia.nocookie.net/plantsvszombies/images/2/2e/Oily_Olive2.png/revision/latest?cb=20191214184514" TargetMode="External"/><Relationship Id="rId279" Type="http://schemas.openxmlformats.org/officeDocument/2006/relationships/hyperlink" Target="https://static.wikia.nocookie.net/plantsvszombies/images/0/0f/Alarm_Explosive_Arrowhead2.png/revision/latest?cb=20190131143929" TargetMode="External"/><Relationship Id="rId43" Type="http://schemas.openxmlformats.org/officeDocument/2006/relationships/hyperlink" Target="https://static.wikia.nocookie.net/plantsvszombies/images/f/fa/Tile_Turnip2.png/revision/latest?cb=20181230192657" TargetMode="External"/><Relationship Id="rId139" Type="http://schemas.openxmlformats.org/officeDocument/2006/relationships/hyperlink" Target="https://static.wikia.nocookie.net/plantsvszombies/images/f/f5/Stickybomb_Rice2.png/revision/latest?cb=20220219132542" TargetMode="External"/><Relationship Id="rId290" Type="http://schemas.openxmlformats.org/officeDocument/2006/relationships/hyperlink" Target="https://static.wikia.nocookie.net/plantsvszombies/images/0/0c/Impatiens_Shooter2.png/revision/latest?cb=20211018030240" TargetMode="External"/><Relationship Id="rId304" Type="http://schemas.openxmlformats.org/officeDocument/2006/relationships/hyperlink" Target="https://static.wikia.nocookie.net/plantsvszombies/images/3/30/Capaci-cone2.png/revision/latest?cb=20230430190812"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d/d9/Iceweed2.png/revision/latest?cb=20211115203447" TargetMode="External"/><Relationship Id="rId192" Type="http://schemas.openxmlformats.org/officeDocument/2006/relationships/hyperlink" Target="https://static.wikia.nocookie.net/plantsvszombies/images/6/6a/AspearagusA.png/revision/latest?cb=20130502101541" TargetMode="External"/><Relationship Id="rId206" Type="http://schemas.openxmlformats.org/officeDocument/2006/relationships/hyperlink" Target="https://static.wikia.nocookie.net/plantsvszombies/images/5/54/Heavenly_Peach2.png/revision/latest?cb=20230402051504" TargetMode="External"/><Relationship Id="rId248" Type="http://schemas.openxmlformats.org/officeDocument/2006/relationships/hyperlink" Target="https://static.wikia.nocookie.net/plantsvszombies/images/1/17/Bamboo_Trooper2.png/revision/latest?cb=20220728220644" TargetMode="External"/><Relationship Id="rId12" Type="http://schemas.openxmlformats.org/officeDocument/2006/relationships/hyperlink" Target="https://static.wikia.nocookie.net/plantsvszombies/images/b/b4/Kernel-pult2.png/revision/latest?cb=20221126072120" TargetMode="External"/><Relationship Id="rId108" Type="http://schemas.openxmlformats.org/officeDocument/2006/relationships/hyperlink" Target="https://static.wikia.nocookie.net/plantsvszombies/images/9/95/Blooming_Heart2.png/revision/latest?cb=20160204153716" TargetMode="External"/><Relationship Id="rId315" Type="http://schemas.openxmlformats.org/officeDocument/2006/relationships/hyperlink" Target="https://static.wikia.nocookie.net/plantsvszombies/images/5/50/Heliconia_Gunner2.png/revision/latest?cb=20240312005444" TargetMode="External"/><Relationship Id="rId54" Type="http://schemas.openxmlformats.org/officeDocument/2006/relationships/hyperlink" Target="https://static.wikia.nocookie.net/plantsvszombies/images/9/93/Intensive_Carrot2.png/revision/latest?cb=20150919111412" TargetMode="External"/><Relationship Id="rId96" Type="http://schemas.openxmlformats.org/officeDocument/2006/relationships/hyperlink" Target="https://static.wikia.nocookie.net/plantsvszombies/images/b/b2/Ghost_Pepper2.png/revision/latest?cb=20160916010938" TargetMode="External"/><Relationship Id="rId161" Type="http://schemas.openxmlformats.org/officeDocument/2006/relationships/hyperlink" Target="https://static.wikia.nocookie.net/plantsvszombies/images/1/15/Meteor_Flower2.png/revision/latest?cb=20220916012728" TargetMode="External"/><Relationship Id="rId217" Type="http://schemas.openxmlformats.org/officeDocument/2006/relationships/hyperlink" Target="https://static.wikia.nocookie.net/plantsvszombies/images/f/f3/Saucer2.png/revision/latest?cb=20221226045102" TargetMode="External"/><Relationship Id="rId259" Type="http://schemas.openxmlformats.org/officeDocument/2006/relationships/hyperlink" Target="https://static.wikia.nocookie.net/plantsvszombies/images/b/b0/Pumpkin_Witch2.png/revision/latest?cb=20220307174545"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270" Type="http://schemas.openxmlformats.org/officeDocument/2006/relationships/hyperlink" Target="https://static.wikia.nocookie.net/plantsvszombies/images/b/ba/Cattail2.png/revision/latest?cb=20210908084210" TargetMode="External"/><Relationship Id="rId65" Type="http://schemas.openxmlformats.org/officeDocument/2006/relationships/hyperlink" Target="https://static.wikia.nocookie.net/plantsvszombies/images/5/55/Moonflower2.png/revision/latest?cb=20160904210356" TargetMode="External"/><Relationship Id="rId130" Type="http://schemas.openxmlformats.org/officeDocument/2006/relationships/hyperlink" Target="https://static.wikia.nocookie.net/plantsvszombies/images/9/97/Shine_Vine2.png/revision/latest?cb=20200625090602" TargetMode="External"/><Relationship Id="rId172" Type="http://schemas.openxmlformats.org/officeDocument/2006/relationships/hyperlink" Target="https://static.wikia.nocookie.net/plantsvszombies/images/7/7f/Nightcap2.png/revision/latest?cb=20230314003500" TargetMode="External"/><Relationship Id="rId228" Type="http://schemas.openxmlformats.org/officeDocument/2006/relationships/hyperlink" Target="https://static.wikia.nocookie.net/plantsvszombies/images/d/dd/Flat-shroom2.png/revision/latest?cb=20180825114906" TargetMode="External"/><Relationship Id="rId281" Type="http://schemas.openxmlformats.org/officeDocument/2006/relationships/hyperlink" Target="https://static.wikia.nocookie.net/plantsvszombies/images/e/e9/Thunder_Snapdragon2.png/revision/latest?cb=20190810152622" TargetMode="External"/><Relationship Id="rId34" Type="http://schemas.openxmlformats.org/officeDocument/2006/relationships/hyperlink" Target="https://static.wikia.nocookie.net/plantsvszombies/images/5/52/Endurian2.png/revision/latest?cb=20160831005313" TargetMode="External"/><Relationship Id="rId55" Type="http://schemas.openxmlformats.org/officeDocument/2006/relationships/hyperlink" Target="https://static.wikia.nocookie.net/plantsvszombies/images/b/b6/Primal_Peashooter2.png/revision/latest?cb=20160831064137" TargetMode="External"/><Relationship Id="rId76" Type="http://schemas.openxmlformats.org/officeDocument/2006/relationships/hyperlink" Target="https://static.wikia.nocookie.net/plantsvszombies/images/a/aa/Cactus2.png/revision/latest?cb=20150823165854" TargetMode="External"/><Relationship Id="rId97" Type="http://schemas.openxmlformats.org/officeDocument/2006/relationships/hyperlink" Target="https://static.wikia.nocookie.net/plantsvszombies/images/1/1a/Sweet_Potato2.png/revision/latest?cb=20150823165444" TargetMode="External"/><Relationship Id="rId120" Type="http://schemas.openxmlformats.org/officeDocument/2006/relationships/hyperlink" Target="https://static.wikia.nocookie.net/plantsvszombies/images/6/69/Electrici-tea2.png/revision/latest?cb=20200601162225" TargetMode="External"/><Relationship Id="rId141" Type="http://schemas.openxmlformats.org/officeDocument/2006/relationships/hyperlink" Target="https://static.wikia.nocookie.net/plantsvszombies/images/8/8a/Gloom_Vine2.png/revision/latest?cb=20210205225758" TargetMode="External"/><Relationship Id="rId7" Type="http://schemas.openxmlformats.org/officeDocument/2006/relationships/hyperlink" Target="https://static.wikia.nocookie.net/plantsvszombies/images/d/d0/Iceberg_Lettuce2.png/revision/latest?cb=20221126070154" TargetMode="External"/><Relationship Id="rId162" Type="http://schemas.openxmlformats.org/officeDocument/2006/relationships/hyperlink" Target="https://static.wikia.nocookie.net/plantsvszombies/images/d/da/Chilly_Pepper2.png/revision/latest?cb=20221105224813" TargetMode="External"/><Relationship Id="rId183" Type="http://schemas.openxmlformats.org/officeDocument/2006/relationships/hyperlink" Target="https://static.wikia.nocookie.net/plantsvszombies/images/9/92/Doom-shroom2.png/revision/latest?cb=20241103020717" TargetMode="External"/><Relationship Id="rId218" Type="http://schemas.openxmlformats.org/officeDocument/2006/relationships/hyperlink" Target="https://static.wikia.nocookie.net/plantsvszombies/images/6/63/Horsebean2.png/revision/latest?cb=20221226045045" TargetMode="External"/><Relationship Id="rId239" Type="http://schemas.openxmlformats.org/officeDocument/2006/relationships/hyperlink" Target="https://static.wikia.nocookie.net/plantsvszombies/images/6/6b/Dripping_Diphylleia2.png/revision/latest?cb=20210125075450" TargetMode="External"/><Relationship Id="rId250" Type="http://schemas.openxmlformats.org/officeDocument/2006/relationships/hyperlink" Target="https://static.wikia.nocookie.net/plantsvszombies/images/5/51/Cryo-shroom2.png/revision/latest?cb=20230226070920" TargetMode="External"/><Relationship Id="rId271" Type="http://schemas.openxmlformats.org/officeDocument/2006/relationships/hyperlink" Target="https://static.wikia.nocookie.net/plantsvszombies/images/7/73/Cob_Cannon2C.png/revision/latest?cb=20170128062225" TargetMode="External"/><Relationship Id="rId292" Type="http://schemas.openxmlformats.org/officeDocument/2006/relationships/hyperlink" Target="https://static.wikia.nocookie.net/plantsvszombies/images/7/75/Hammer_Flower2.png/revision/latest?cb=20211205022154" TargetMode="External"/><Relationship Id="rId306" Type="http://schemas.openxmlformats.org/officeDocument/2006/relationships/hyperlink" Target="https://static.wikia.nocookie.net/plantsvszombies/images/6/65/Gorgon_Pitcher2.png/revision/latest?cb=20230526001308" TargetMode="External"/><Relationship Id="rId24" Type="http://schemas.openxmlformats.org/officeDocument/2006/relationships/hyperlink" Target="https://static.wikia.nocookie.net/plantsvszombies/images/f/fe/Melon-pult2.png/revision/latest?cb=20141116195851"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31" Type="http://schemas.openxmlformats.org/officeDocument/2006/relationships/hyperlink" Target="https://static.wikia.nocookie.net/plantsvszombies/images/4/48/Tumbleweed2.png/revision/latest?cb=20200512045045" TargetMode="External"/><Relationship Id="rId152" Type="http://schemas.openxmlformats.org/officeDocument/2006/relationships/hyperlink" Target="https://static.wikia.nocookie.net/plantsvszombies/images/1/1b/Teleportato_Mine2.png/revision/latest?cb=20211212021625" TargetMode="External"/><Relationship Id="rId173" Type="http://schemas.openxmlformats.org/officeDocument/2006/relationships/hyperlink" Target="https://static.wikia.nocookie.net/plantsvszombies/images/f/fc/Cran_Jelly2.png/revision/latest?cb=20230826073858" TargetMode="External"/><Relationship Id="rId194" Type="http://schemas.openxmlformats.org/officeDocument/2006/relationships/hyperlink" Target="https://static.wikia.nocookie.net/plantsvszombies/images/3/32/BeetA.png/revision/latest?cb=20130510211801" TargetMode="External"/><Relationship Id="rId208" Type="http://schemas.openxmlformats.org/officeDocument/2006/relationships/hyperlink" Target="https://static.wikia.nocookie.net/plantsvszombies/images/6/69/Oak_Archer2.png/revision/latest?cb=20150322200617" TargetMode="External"/><Relationship Id="rId229" Type="http://schemas.openxmlformats.org/officeDocument/2006/relationships/hyperlink" Target="https://static.wikia.nocookie.net/plantsvszombies/images/7/72/Lotus_Shooter2.png/revision/latest?cb=20230909021319" TargetMode="External"/><Relationship Id="rId240" Type="http://schemas.openxmlformats.org/officeDocument/2006/relationships/hyperlink" Target="https://static.wikia.nocookie.net/plantsvszombies/images/f/fd/Dendrobium_Windbreak2.png/revision/latest?cb=20210207112655" TargetMode="External"/><Relationship Id="rId261" Type="http://schemas.openxmlformats.org/officeDocument/2006/relationships/hyperlink" Target="https://static.wikia.nocookie.net/plantsvszombies/images/5/57/Snow_Cotton2.png/revision/latest?cb=20210905073138" TargetMode="External"/><Relationship Id="rId14" Type="http://schemas.openxmlformats.org/officeDocument/2006/relationships/hyperlink" Target="https://static.wikia.nocookie.net/plantsvszombies/images/0/07/Spikeweed2.png/revision/latest?cb=20221206063052"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282" Type="http://schemas.openxmlformats.org/officeDocument/2006/relationships/hyperlink" Target="https://static.wikia.nocookie.net/plantsvszombies/images/a/ae/Egret_Flower_Plane2.png/revision/latest?cb=20200114205809" TargetMode="External"/><Relationship Id="rId317" Type="http://schemas.openxmlformats.org/officeDocument/2006/relationships/hyperlink" Target="https://static.wikia.nocookie.net/plantsvszombies/images/6/61/Cactus_Mistletoe2.png/revision/latest?cb=20240523193645" TargetMode="External"/><Relationship Id="rId8" Type="http://schemas.openxmlformats.org/officeDocument/2006/relationships/hyperlink" Target="https://static.wikia.nocookie.net/plantsvszombies/images/1/1d/Grave_Buster2.png/revision/latest?cb=20221126070428"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5/52/Draftodil2.png/revision/latest?cb=20210203212740" TargetMode="External"/><Relationship Id="rId163" Type="http://schemas.openxmlformats.org/officeDocument/2006/relationships/hyperlink" Target="https://static.wikia.nocookie.net/plantsvszombies/images/4/4f/Bun_Chi2.png/revision/latest?cb=20230201230126" TargetMode="External"/><Relationship Id="rId184" Type="http://schemas.openxmlformats.org/officeDocument/2006/relationships/hyperlink" Target="https://static.wikia.nocookie.net/plantsvszombies/images/7/79/Blaze_Leaf2.png/revision/latest?cb=20241024015246" TargetMode="External"/><Relationship Id="rId219" Type="http://schemas.openxmlformats.org/officeDocument/2006/relationships/hyperlink" Target="https://static.wikia.nocookie.net/plantsvszombies/images/2/2e/Groundcherry2.png/revision/latest?cb=20221226045026" TargetMode="External"/><Relationship Id="rId230" Type="http://schemas.openxmlformats.org/officeDocument/2006/relationships/hyperlink" Target="https://static.wikia.nocookie.net/plantsvszombies/images/7/76/Maypop_Mechanic2.png/revision/latest?cb=20190319131928" TargetMode="External"/><Relationship Id="rId251" Type="http://schemas.openxmlformats.org/officeDocument/2006/relationships/hyperlink" Target="https://static.wikia.nocookie.net/plantsvszombies/images/e/e1/Carrotillery2.png/revision/latest?cb=20190321155305"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272" Type="http://schemas.openxmlformats.org/officeDocument/2006/relationships/hyperlink" Target="https://static.wikia.nocookie.net/plantsvszombies/images/0/0a/White_Melon_Sumo_Wrestler2.png/revision/latest?cb=20170701025441" TargetMode="External"/><Relationship Id="rId293" Type="http://schemas.openxmlformats.org/officeDocument/2006/relationships/hyperlink" Target="https://static.wikia.nocookie.net/plantsvszombies/images/9/9f/Fishhook_Grass2.png/revision/latest?cb=20211205022802" TargetMode="External"/><Relationship Id="rId307" Type="http://schemas.openxmlformats.org/officeDocument/2006/relationships/hyperlink" Target="https://static.wikia.nocookie.net/plantsvszombies/images/4/47/Abyss_Anemone2.png/revision/latest?cb=20230707001419"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5/54/Olive_Pit2.png/revision/latest?cb=20240907001418" TargetMode="External"/><Relationship Id="rId153" Type="http://schemas.openxmlformats.org/officeDocument/2006/relationships/hyperlink" Target="https://static.wikia.nocookie.net/plantsvszombies/images/2/2a/Blockoli2.png/revision/latest?cb=20220206062157" TargetMode="External"/><Relationship Id="rId174" Type="http://schemas.openxmlformats.org/officeDocument/2006/relationships/hyperlink" Target="https://static.wikia.nocookie.net/plantsvszombies/images/6/60/Bud%27uh_Boom2.png/revision/latest?cb=20231129165733" TargetMode="External"/><Relationship Id="rId195" Type="http://schemas.openxmlformats.org/officeDocument/2006/relationships/hyperlink" Target="https://static.wikia.nocookie.net/plantsvszombies/images/3/35/Magnet_PlantA.png/revision/latest?cb=20130521212819" TargetMode="External"/><Relationship Id="rId209" Type="http://schemas.openxmlformats.org/officeDocument/2006/relationships/hyperlink" Target="https://static.wikia.nocookie.net/plantsvszombies/images/e/e7/Coffee_Bean2.png/revision/latest?cb=20150322201447" TargetMode="External"/><Relationship Id="rId220" Type="http://schemas.openxmlformats.org/officeDocument/2006/relationships/hyperlink" Target="https://static.wikia.nocookie.net/plantsvszombies/images/3/3f/Anthurium2.png/revision/latest?cb=20221226044948" TargetMode="External"/><Relationship Id="rId241" Type="http://schemas.openxmlformats.org/officeDocument/2006/relationships/hyperlink" Target="https://static.wikia.nocookie.net/plantsvszombies/images/d/da/Stephania2.png/revision/latest?cb=20210207105812"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262" Type="http://schemas.openxmlformats.org/officeDocument/2006/relationships/hyperlink" Target="https://static.wikia.nocookie.net/plantsvszombies/images/e/e6/Agave2.png/revision/latest?cb=20211112011234" TargetMode="External"/><Relationship Id="rId283" Type="http://schemas.openxmlformats.org/officeDocument/2006/relationships/hyperlink" Target="https://static.wikia.nocookie.net/plantsvszombies/images/5/5d/Elaeocarpus-pult2.png/revision/latest?cb=20200418155447" TargetMode="External"/><Relationship Id="rId318" Type="http://schemas.openxmlformats.org/officeDocument/2006/relationships/hyperlink" Target="https://static.wikia.nocookie.net/plantsvszombies/images/3/36/Sawblade_Sundew2.png/revision/latest?cb=20240523204137" TargetMode="External"/><Relationship Id="rId78" Type="http://schemas.openxmlformats.org/officeDocument/2006/relationships/hyperlink" Target="https://static.wikia.nocookie.net/plantsvszombies/images/9/9a/Jack_O%27_Lantern2.png/revision/latest?cb=20160904215028"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2/23/Boom_Balloon_Flower2.png/revision/latest?cb=20220221101417" TargetMode="External"/><Relationship Id="rId164" Type="http://schemas.openxmlformats.org/officeDocument/2006/relationships/hyperlink" Target="https://static.wikia.nocookie.net/plantsvszombies/images/0/02/Bzzz_Button2.png/revision/latest?cb=20230201230140" TargetMode="External"/><Relationship Id="rId185" Type="http://schemas.openxmlformats.org/officeDocument/2006/relationships/hyperlink" Target="https://static.wikia.nocookie.net/plantsvszombies/images/8/84/Frost_Bonnet2.png/revision/latest?cb=20241024014551" TargetMode="External"/><Relationship Id="rId9" Type="http://schemas.openxmlformats.org/officeDocument/2006/relationships/hyperlink" Target="https://static.wikia.nocookie.net/plantsvszombies/images/7/75/Bonk_Choy2.png/revision/latest?cb=20221126070903" TargetMode="External"/><Relationship Id="rId210" Type="http://schemas.openxmlformats.org/officeDocument/2006/relationships/hyperlink" Target="https://static.wikia.nocookie.net/plantsvszombies/images/c/c6/Plantern2.png/revision/latest?cb=20150714005549" TargetMode="External"/><Relationship Id="rId26" Type="http://schemas.openxmlformats.org/officeDocument/2006/relationships/hyperlink" Target="https://static.wikia.nocookie.net/plantsvszombies/images/2/24/Winter_Melon2.png/revision/latest?cb=20141116195910" TargetMode="External"/><Relationship Id="rId231" Type="http://schemas.openxmlformats.org/officeDocument/2006/relationships/hyperlink" Target="https://static.wikia.nocookie.net/plantsvszombies/images/6/6e/Wind-Blowing_Vanilla2.png/revision/latest?cb=20180825120100" TargetMode="External"/><Relationship Id="rId252" Type="http://schemas.openxmlformats.org/officeDocument/2006/relationships/hyperlink" Target="https://static.wikia.nocookie.net/plantsvszombies/images/4/47/Strong_Broccoli2.png/revision/latest?cb=20240605051128" TargetMode="External"/><Relationship Id="rId273" Type="http://schemas.openxmlformats.org/officeDocument/2006/relationships/hyperlink" Target="https://static.wikia.nocookie.net/plantsvszombies/images/f/fb/Icy_Currant2.png/revision/latest?cb=20230226051255" TargetMode="External"/><Relationship Id="rId294" Type="http://schemas.openxmlformats.org/officeDocument/2006/relationships/hyperlink" Target="https://static.wikia.nocookie.net/plantsvszombies/images/d/d7/Mangosteen2.png/revision/latest?cb=20211222225341" TargetMode="External"/><Relationship Id="rId308" Type="http://schemas.openxmlformats.org/officeDocument/2006/relationships/hyperlink" Target="https://static.wikia.nocookie.net/plantsvszombies/images/4/41/Parkour_Mandrake2.png/revision/latest?cb=20230707000354" TargetMode="Externa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f/f8/Puffball2.png/revision/latest?cb=20200627015218" TargetMode="External"/><Relationship Id="rId154" Type="http://schemas.openxmlformats.org/officeDocument/2006/relationships/hyperlink" Target="https://static.wikia.nocookie.net/plantsvszombies/images/6/64/Buttercup2.png/revision/latest?cb=20220205081753" TargetMode="External"/><Relationship Id="rId175" Type="http://schemas.openxmlformats.org/officeDocument/2006/relationships/hyperlink" Target="https://static.wikia.nocookie.net/plantsvszombies/images/7/77/Ice-shroom2.png/revision/latest?cb=20231123040702" TargetMode="External"/><Relationship Id="rId196" Type="http://schemas.openxmlformats.org/officeDocument/2006/relationships/hyperlink" Target="https://static.wikia.nocookie.net/plantsvszombies/images/3/32/Flaming_PeaA.png/revision/latest?cb=20160403150613" TargetMode="External"/><Relationship Id="rId200" Type="http://schemas.openxmlformats.org/officeDocument/2006/relationships/hyperlink" Target="https://static.wikia.nocookie.net/plantsvszombies/images/0/04/BeeshooterA.png/revision/latest?cb=20130521192003" TargetMode="External"/><Relationship Id="rId16" Type="http://schemas.openxmlformats.org/officeDocument/2006/relationships/hyperlink" Target="https://static.wikia.nocookie.net/plantsvszombies/images/2/21/Coconut_Cannon2.png/revision/latest?cb=20221206063716" TargetMode="External"/><Relationship Id="rId221" Type="http://schemas.openxmlformats.org/officeDocument/2006/relationships/hyperlink" Target="https://static.wikia.nocookie.net/plantsvszombies/images/f/f7/Pineapple2.png/revision/latest?cb=20221226013615" TargetMode="External"/><Relationship Id="rId242" Type="http://schemas.openxmlformats.org/officeDocument/2006/relationships/hyperlink" Target="https://static.wikia.nocookie.net/plantsvszombies/images/d/d6/Tupistra_Stalker2.png/revision/latest?cb=20210207112128" TargetMode="External"/><Relationship Id="rId263" Type="http://schemas.openxmlformats.org/officeDocument/2006/relationships/hyperlink" Target="https://static.wikia.nocookie.net/plantsvszombies/images/b/bc/Kiwifruit2.png/revision/latest?cb=20221216040045" TargetMode="External"/><Relationship Id="rId284" Type="http://schemas.openxmlformats.org/officeDocument/2006/relationships/hyperlink" Target="https://static.wikia.nocookie.net/plantsvszombies/images/d/d2/Water_Chestnut_Brothers2.png/revision/latest?cb=20200716201954" TargetMode="External"/><Relationship Id="rId319" Type="http://schemas.openxmlformats.org/officeDocument/2006/relationships/hyperlink" Target="https://static.wikia.nocookie.net/plantsvszombies/images/3/3d/Electric_Tailgrape2.png/revision/latest?cb=20240711013633"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a/a1/Pea_Vine2.png/revision/latest?cb=20210916020642"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a/a8/BoomBerry2.png/revision/latest?cb=20230201230214" TargetMode="External"/><Relationship Id="rId186" Type="http://schemas.openxmlformats.org/officeDocument/2006/relationships/hyperlink" Target="https://static.wikia.nocookie.net/plantsvszombies/images/f/f0/Znake_Lily2.png/revision/latest?cb=20241011125933" TargetMode="External"/><Relationship Id="rId211" Type="http://schemas.openxmlformats.org/officeDocument/2006/relationships/hyperlink" Target="https://static.wikia.nocookie.net/plantsvszombies/images/e/e9/Acid_Lemon2.png/revision/latest?cb=20150805184227" TargetMode="External"/><Relationship Id="rId232" Type="http://schemas.openxmlformats.org/officeDocument/2006/relationships/hyperlink" Target="https://static.wikia.nocookie.net/plantsvszombies/images/a/ad/Convallaria_Pharmacist2.png/revision/latest?cb=20190217205325" TargetMode="External"/><Relationship Id="rId253" Type="http://schemas.openxmlformats.org/officeDocument/2006/relationships/hyperlink" Target="https://static.wikia.nocookie.net/plantsvszombies/images/d/d1/Machine_Gun_Pomegranate2.png/revision/latest?cb=20190714181437" TargetMode="External"/><Relationship Id="rId274" Type="http://schemas.openxmlformats.org/officeDocument/2006/relationships/hyperlink" Target="https://static.wikia.nocookie.net/plantsvszombies/images/5/54/Tulip_Trumpeter2.png/revision/latest?cb=20180330233219" TargetMode="External"/><Relationship Id="rId295" Type="http://schemas.openxmlformats.org/officeDocument/2006/relationships/hyperlink" Target="https://static.wikia.nocookie.net/plantsvszombies/images/f/f7/Tigerstool2.png/revision/latest?cb=20220125215427" TargetMode="External"/><Relationship Id="rId309" Type="http://schemas.openxmlformats.org/officeDocument/2006/relationships/hyperlink" Target="https://static.wikia.nocookie.net/plantsvszombies/images/8/8c/Abyss_Devil%27s_Claw2.png/revision/latest?cb=20230915022000"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5/54/Explode-o-Vine2.png/revision/latest?cb=20200803222649" TargetMode="External"/><Relationship Id="rId320" Type="http://schemas.openxmlformats.org/officeDocument/2006/relationships/hyperlink" Target="https://static.wikia.nocookie.net/plantsvszombies/images/a/ac/Gramophone_Datura2.png/revision/latest?cb=20240901124249"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b/Bramble_Bush2.png/revision/latest?cb=20220404224349" TargetMode="External"/><Relationship Id="rId176" Type="http://schemas.openxmlformats.org/officeDocument/2006/relationships/hyperlink" Target="https://static.wikia.nocookie.net/plantsvszombies/images/a/a9/Dragon_Bruit2.png/revision/latest?cb=20231218173201" TargetMode="External"/><Relationship Id="rId197" Type="http://schemas.openxmlformats.org/officeDocument/2006/relationships/hyperlink" Target="https://static.wikia.nocookie.net/plantsvszombies/images/1/12/ShamrockA.png/revision/latest?cb=20130521213245" TargetMode="External"/><Relationship Id="rId201" Type="http://schemas.openxmlformats.org/officeDocument/2006/relationships/hyperlink" Target="https://static.wikia.nocookie.net/plantsvszombies/images/8/84/Bamboo_Shoots3.png/revision/latest/scale-to-width-down/48?cb=20220505145717" TargetMode="External"/><Relationship Id="rId222" Type="http://schemas.openxmlformats.org/officeDocument/2006/relationships/hyperlink" Target="https://static.wikia.nocookie.net/plantsvszombies/images/c/c1/Jackfruit2.png/revision/latest?cb=20160122031402" TargetMode="External"/><Relationship Id="rId243" Type="http://schemas.openxmlformats.org/officeDocument/2006/relationships/hyperlink" Target="https://static.wikia.nocookie.net/plantsvszombies/images/6/63/Chef_Cypripedium2.png/revision/latest?cb=20210207112340" TargetMode="External"/><Relationship Id="rId264" Type="http://schemas.openxmlformats.org/officeDocument/2006/relationships/hyperlink" Target="https://static.wikia.nocookie.net/plantsvszombies/images/c/c0/Pretty_Plum2.png/revision/latest?cb=20170130043820" TargetMode="External"/><Relationship Id="rId285" Type="http://schemas.openxmlformats.org/officeDocument/2006/relationships/hyperlink" Target="https://static.wikia.nocookie.net/plantsvszombies/images/8/88/Dollarweed_Drummer2.png/revision/latest?cb=20201226065335"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310" Type="http://schemas.openxmlformats.org/officeDocument/2006/relationships/hyperlink" Target="https://static.wikia.nocookie.net/plantsvszombies/images/a/a6/Hoya_Heart2.png/revision/latest?cb=20230903215635"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7/7e/Inferno2.png/revision/latest?cb=20210916020513" TargetMode="External"/><Relationship Id="rId166" Type="http://schemas.openxmlformats.org/officeDocument/2006/relationships/hyperlink" Target="https://static.wikia.nocookie.net/plantsvszombies/images/8/8f/SeaFlora2.png/revision/latest?cb=20230314003534" TargetMode="External"/><Relationship Id="rId187" Type="http://schemas.openxmlformats.org/officeDocument/2006/relationships/hyperlink" Target="https://static.wikia.nocookie.net/plantsvszombies/images/a/a4/Sweetheart_Snare2.png/revision/latest/scale-to-width-down/70?cb=20250121231122" TargetMode="External"/><Relationship Id="rId1" Type="http://schemas.openxmlformats.org/officeDocument/2006/relationships/hyperlink" Target="https://static.wikia.nocookie.net/plantsvszombies/images/c/ca/Peashooter2.png/revision/latest?cb=20221126065143" TargetMode="External"/><Relationship Id="rId212" Type="http://schemas.openxmlformats.org/officeDocument/2006/relationships/hyperlink" Target="https://static.wikia.nocookie.net/plantsvszombies/images/5/57/Lotus_Pod2.png/revision/latest?cb=20150517073958" TargetMode="External"/><Relationship Id="rId233" Type="http://schemas.openxmlformats.org/officeDocument/2006/relationships/hyperlink" Target="https://static.wikia.nocookie.net/plantsvszombies/images/a/a5/Mulberry_Blaster2.png/revision/latest?cb=20190321155348" TargetMode="External"/><Relationship Id="rId254" Type="http://schemas.openxmlformats.org/officeDocument/2006/relationships/hyperlink" Target="https://static.wikia.nocookie.net/plantsvszombies/images/3/3f/Landlord_Bamboo2.png/revision/latest?cb=20160818132722"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275" Type="http://schemas.openxmlformats.org/officeDocument/2006/relationships/hyperlink" Target="https://static.wikia.nocookie.net/plantsvszombies/images/5/55/Eggplant_Ninja2.png/revision/latest?cb=20230226051118" TargetMode="External"/><Relationship Id="rId296" Type="http://schemas.openxmlformats.org/officeDocument/2006/relationships/hyperlink" Target="https://static.wikia.nocookie.net/plantsvszombies/images/f/f1/Gardener_Grass2.png/revision/latest?cb=20220311003749" TargetMode="External"/><Relationship Id="rId300" Type="http://schemas.openxmlformats.org/officeDocument/2006/relationships/hyperlink" Target="https://static.wikia.nocookie.net/plantsvszombies/images/b/b9/Twin_Year_of_the_Rabbits2.png/revision/latest?cb=20230129074906" TargetMode="External"/><Relationship Id="rId60" Type="http://schemas.openxmlformats.org/officeDocument/2006/relationships/hyperlink" Target="https://static.wikia.nocookie.net/plantsvszombies/images/e/ec/Primal_Potato_Mine2.png/revision/latest?cb=20151215015144"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e/e6/Murkadamia_Nut2.png/revision/latest?cb=20220219133005" TargetMode="External"/><Relationship Id="rId156" Type="http://schemas.openxmlformats.org/officeDocument/2006/relationships/hyperlink" Target="https://static.wikia.nocookie.net/plantsvszombies/images/f/f6/Rhubarbarian2.png/revision/latest?cb=20220512063614" TargetMode="External"/><Relationship Id="rId177" Type="http://schemas.openxmlformats.org/officeDocument/2006/relationships/hyperlink" Target="https://static.wikia.nocookie.net/plantsvszombies/images/4/49/Electric_Peel2.png/revision/latest?cb=20240321225940" TargetMode="External"/><Relationship Id="rId198" Type="http://schemas.openxmlformats.org/officeDocument/2006/relationships/hyperlink" Target="https://static.wikia.nocookie.net/plantsvszombies/images/6/66/Bamboo_ShootA.png/revision/latest?cb=20130524081642" TargetMode="External"/><Relationship Id="rId321" Type="http://schemas.openxmlformats.org/officeDocument/2006/relationships/hyperlink" Target="https://static.wikia.nocookie.net/plantsvszombies/images/3/33/Crazy_Firecracker_Flower2.png/revision/latest?cb=20240901124501" TargetMode="External"/><Relationship Id="rId202" Type="http://schemas.openxmlformats.org/officeDocument/2006/relationships/hyperlink" Target="https://static.wikia.nocookie.net/plantsvszombies/images/9/9d/Lychee3.png/revision/latest/scale-to-width-down/48?cb=20241119002150" TargetMode="External"/><Relationship Id="rId223" Type="http://schemas.openxmlformats.org/officeDocument/2006/relationships/hyperlink" Target="https://static.wikia.nocookie.net/plantsvszombies/images/2/2d/Morning_Glory2.png/revision/latest?cb=20221226051932" TargetMode="External"/><Relationship Id="rId244" Type="http://schemas.openxmlformats.org/officeDocument/2006/relationships/hyperlink" Target="https://static.wikia.nocookie.net/plantsvszombies/images/a/ae/Boophone_Geigi2.png/revision/latest?cb=20210413014707"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265" Type="http://schemas.openxmlformats.org/officeDocument/2006/relationships/hyperlink" Target="https://static.wikia.nocookie.net/plantsvszombies/images/6/64/Dragonfruit2.png/revision/latest?cb=20180312024046" TargetMode="External"/><Relationship Id="rId286" Type="http://schemas.openxmlformats.org/officeDocument/2006/relationships/hyperlink" Target="https://static.wikia.nocookie.net/plantsvszombies/images/e/e5/Shadow_Vanilla2.png/revision/latest?cb=20210728071427" TargetMode="External"/><Relationship Id="rId50" Type="http://schemas.openxmlformats.org/officeDocument/2006/relationships/hyperlink" Target="https://static.wikia.nocookie.net/plantsvszombies/images/a/a5/Celery_Stalker2.png/revision/latest?cb=20150822202352" TargetMode="External"/><Relationship Id="rId104" Type="http://schemas.openxmlformats.org/officeDocument/2006/relationships/hyperlink" Target="https://static.wikia.nocookie.net/plantsvszombies/images/e/ef/Kiwibeast2.png/revision/latest?cb=20210121015624" TargetMode="External"/><Relationship Id="rId125" Type="http://schemas.openxmlformats.org/officeDocument/2006/relationships/hyperlink" Target="https://static.wikia.nocookie.net/plantsvszombies/images/0/07/Pyre_Vine2.png/revision/latest?cb=20190903223137" TargetMode="External"/><Relationship Id="rId146" Type="http://schemas.openxmlformats.org/officeDocument/2006/relationships/hyperlink" Target="https://static.wikia.nocookie.net/plantsvszombies/images/9/96/Solar_Sage2.png/revision/latest?cb=20210621230624" TargetMode="External"/><Relationship Id="rId167" Type="http://schemas.openxmlformats.org/officeDocument/2006/relationships/hyperlink" Target="https://static.wikia.nocookie.net/plantsvszombies/images/3/38/MayBee2.png/revision/latest?cb=20230314003517" TargetMode="External"/><Relationship Id="rId188" Type="http://schemas.openxmlformats.org/officeDocument/2006/relationships/hyperlink" Target="https://static.wikia.nocookie.net/plantsvszombies/images/d/d0/Hammeruit2.png/revision/latest/scale-to-width-down/70?cb=20250108203307" TargetMode="External"/><Relationship Id="rId311" Type="http://schemas.openxmlformats.org/officeDocument/2006/relationships/hyperlink" Target="https://static.wikia.nocookie.net/plantsvszombies/images/5/58/Oilseed-pult2.png/revision/latest?cb=20230926000742"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213" Type="http://schemas.openxmlformats.org/officeDocument/2006/relationships/hyperlink" Target="https://static.wikia.nocookie.net/plantsvszombies/images/2/2a/Rafflesia2.png/revision/latest?cb=20151031192058" TargetMode="External"/><Relationship Id="rId234" Type="http://schemas.openxmlformats.org/officeDocument/2006/relationships/hyperlink" Target="https://static.wikia.nocookie.net/plantsvszombies/images/d/db/Rose_Swordfighter2.png/revision/latest?cb=20200803061104"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55" Type="http://schemas.openxmlformats.org/officeDocument/2006/relationships/hyperlink" Target="https://static.wikia.nocookie.net/plantsvszombies/images/f/fa/Chestnut_Squad2.png/revision/latest?cb=20170210131218" TargetMode="External"/><Relationship Id="rId276" Type="http://schemas.openxmlformats.org/officeDocument/2006/relationships/hyperlink" Target="https://static.wikia.nocookie.net/plantsvszombies/images/7/73/Banana_Dancer2.png/revision/latest?cb=20200519051649" TargetMode="External"/><Relationship Id="rId297" Type="http://schemas.openxmlformats.org/officeDocument/2006/relationships/hyperlink" Target="https://static.wikia.nocookie.net/plantsvszombies/images/6/63/Byttneria_Meteor_Hammer2.png/revision/latest?cb=20221001234422" TargetMode="External"/><Relationship Id="rId40" Type="http://schemas.openxmlformats.org/officeDocument/2006/relationships/hyperlink" Target="https://static.wikia.nocookie.net/plantsvszombies/images/5/5d/E.M.Peach2.png/revision/latest?cb=20150519210717" TargetMode="External"/><Relationship Id="rId115" Type="http://schemas.openxmlformats.org/officeDocument/2006/relationships/hyperlink" Target="https://static.wikia.nocookie.net/plantsvszombies/images/3/3f/Goo_Peashooter2.png/revision/latest?cb=20200803162920" TargetMode="External"/><Relationship Id="rId136" Type="http://schemas.openxmlformats.org/officeDocument/2006/relationships/hyperlink" Target="https://static.wikia.nocookie.net/plantsvszombies/images/0/02/Turkey-pult2.png/revision/latest?cb=20200915155128" TargetMode="External"/><Relationship Id="rId157" Type="http://schemas.openxmlformats.org/officeDocument/2006/relationships/hyperlink" Target="https://static.wikia.nocookie.net/plantsvszombies/images/1/17/Mega_Gatling_Pea2.png/revision/latest?cb=20220907040154" TargetMode="External"/><Relationship Id="rId178" Type="http://schemas.openxmlformats.org/officeDocument/2006/relationships/hyperlink" Target="https://static.wikia.nocookie.net/plantsvszombies/images/d/dd/Sea-shroom2.png/revision/latest?cb=20240506102548" TargetMode="External"/><Relationship Id="rId301" Type="http://schemas.openxmlformats.org/officeDocument/2006/relationships/hyperlink" Target="https://static.wikia.nocookie.net/plantsvszombies/images/e/e9/Pea_Pharmacist2.png/revision/latest?cb=20230129074812" TargetMode="External"/><Relationship Id="rId322" Type="http://schemas.openxmlformats.org/officeDocument/2006/relationships/hyperlink" Target="https://static.wikia.nocookie.net/plantsvszombies/images/2/2d/Lunisolar_Honeysuckle2.png/revision/latest?cb=20241028203916"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99" Type="http://schemas.openxmlformats.org/officeDocument/2006/relationships/hyperlink" Target="https://static.wikia.nocookie.net/plantsvszombies/images/1/1e/Sweet_PeaA.png/revision/latest?cb=20130718044149" TargetMode="External"/><Relationship Id="rId203" Type="http://schemas.openxmlformats.org/officeDocument/2006/relationships/hyperlink" Target="https://static.wikia.nocookie.net/plantsvszombies/images/7/7e/Silversword3.png/revision/latest/scale-to-width-down/48?cb=20220406055054" TargetMode="External"/><Relationship Id="rId19" Type="http://schemas.openxmlformats.org/officeDocument/2006/relationships/hyperlink" Target="https://static.wikia.nocookie.net/plantsvszombies/images/9/93/Cherry_Bomb2.png/revision/latest?cb=20221206063300" TargetMode="External"/><Relationship Id="rId224" Type="http://schemas.openxmlformats.org/officeDocument/2006/relationships/hyperlink" Target="https://static.wikia.nocookie.net/plantsvszombies/images/a/ad/Primal_Rafflesia2.png/revision/latest?cb=20221220085823" TargetMode="External"/><Relationship Id="rId245" Type="http://schemas.openxmlformats.org/officeDocument/2006/relationships/hyperlink" Target="https://static.wikia.nocookie.net/plantsvszombies/images/1/18/Hat_Mushroom2.png/revision/latest?cb=20220729021042" TargetMode="External"/><Relationship Id="rId266" Type="http://schemas.openxmlformats.org/officeDocument/2006/relationships/hyperlink" Target="https://static.wikia.nocookie.net/plantsvszombies/images/5/52/Angel_Starfruit2.png/revision/latest?cb=20190321155238" TargetMode="External"/><Relationship Id="rId287" Type="http://schemas.openxmlformats.org/officeDocument/2006/relationships/hyperlink" Target="https://static.wikia.nocookie.net/plantsvszombies/images/4/47/Splendens_Blade2.png/revision/latest?cb=20201212160706" TargetMode="External"/><Relationship Id="rId30" Type="http://schemas.openxmlformats.org/officeDocument/2006/relationships/hyperlink" Target="https://static.wikia.nocookie.net/plantsvszombies/images/a/ae/Stunion2.png/revision/latest?cb=202302190601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9/95/Power_Vine2.png/revision/latest?cb=20210803233254" TargetMode="External"/><Relationship Id="rId168" Type="http://schemas.openxmlformats.org/officeDocument/2006/relationships/hyperlink" Target="https://static.wikia.nocookie.net/plantsvszombies/images/1/13/Scaredy-shroom2.png/revision/latest?cb=20230415232226" TargetMode="External"/><Relationship Id="rId312" Type="http://schemas.openxmlformats.org/officeDocument/2006/relationships/hyperlink" Target="https://static.wikia.nocookie.net/plantsvszombies/images/d/d8/Leaf-Blade_Dracaena2.png/revision/latest?cb=20231115171036"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189" Type="http://schemas.openxmlformats.org/officeDocument/2006/relationships/hyperlink" Target="https://static.wikia.nocookie.net/plantsvszombies/images/1/1d/Umbrella_Leaf3.png/revision/latest/scale-to-width-down/48?cb=20240620034801" TargetMode="External"/><Relationship Id="rId3" Type="http://schemas.openxmlformats.org/officeDocument/2006/relationships/hyperlink" Target="https://static.wikia.nocookie.net/plantsvszombies/images/1/17/Wall-nut2.png/revision/latest?cb=20221126065345" TargetMode="External"/><Relationship Id="rId214" Type="http://schemas.openxmlformats.org/officeDocument/2006/relationships/hyperlink" Target="https://static.wikia.nocookie.net/plantsvszombies/images/2/20/Whirlwind_Acorn2.png/revision/latest?cb=20160818132726" TargetMode="External"/><Relationship Id="rId235" Type="http://schemas.openxmlformats.org/officeDocument/2006/relationships/hyperlink" Target="https://static.wikia.nocookie.net/plantsvszombies/images/5/52/Bearberry_Mortar2.png/revision/latest?cb=20190926013605" TargetMode="External"/><Relationship Id="rId256" Type="http://schemas.openxmlformats.org/officeDocument/2006/relationships/hyperlink" Target="https://static.wikia.nocookie.net/plantsvszombies/images/c/c8/Bamboo_Bro2.png/revision/latest?cb=20210513062720" TargetMode="External"/><Relationship Id="rId277" Type="http://schemas.openxmlformats.org/officeDocument/2006/relationships/hyperlink" Target="https://static.wikia.nocookie.net/plantsvszombies/images/5/5b/Dual_Pistol_Pinecone2.png/revision/latest?cb=20221216013432" TargetMode="External"/><Relationship Id="rId298" Type="http://schemas.openxmlformats.org/officeDocument/2006/relationships/hyperlink" Target="https://static.wikia.nocookie.net/plantsvszombies/images/a/a7/Laser_Crown_Flower2.png/revision/latest?cb=20221001055728"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2/2d/Headbutter_Lettuce2.png/revision/latest?cb=20201030054125" TargetMode="External"/><Relationship Id="rId158" Type="http://schemas.openxmlformats.org/officeDocument/2006/relationships/hyperlink" Target="https://static.wikia.nocookie.net/plantsvszombies/images/1/1a/Levitater2.png/revision/latest?cb=20220614050517" TargetMode="External"/><Relationship Id="rId302" Type="http://schemas.openxmlformats.org/officeDocument/2006/relationships/hyperlink" Target="https://static.wikia.nocookie.net/plantsvszombies/images/b/b1/Pike_Hoya2.png/revision/latest?cb=20230129074720" TargetMode="External"/><Relationship Id="rId323" Type="http://schemas.openxmlformats.org/officeDocument/2006/relationships/hyperlink" Target="https://static.wikia.nocookie.net/plantsvszombies/images/9/99/Frost_Rambutan2.png/revision/latest?cb=20241113015534"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179" Type="http://schemas.openxmlformats.org/officeDocument/2006/relationships/hyperlink" Target="https://static.wikia.nocookie.net/plantsvszombies/images/5/55/Guard-shroom2.png/revision/latest?cb=20240227153646" TargetMode="External"/><Relationship Id="rId190" Type="http://schemas.openxmlformats.org/officeDocument/2006/relationships/hyperlink" Target="https://static.wikia.nocookie.net/plantsvszombies/images/7/73/Marigold2.png/revision/latest?cb=20151230034649" TargetMode="External"/><Relationship Id="rId204" Type="http://schemas.openxmlformats.org/officeDocument/2006/relationships/hyperlink" Target="https://static.wikia.nocookie.net/plantsvszombies/images/7/72/Resistant_Radish2.png/revision/latest?cb=20150805183002" TargetMode="External"/><Relationship Id="rId225" Type="http://schemas.openxmlformats.org/officeDocument/2006/relationships/hyperlink" Target="https://static.wikia.nocookie.net/plantsvszombies/images/a/ad/Dino-Roar_Grass2.png/revision/latest?cb=20190705052324" TargetMode="External"/><Relationship Id="rId246" Type="http://schemas.openxmlformats.org/officeDocument/2006/relationships/hyperlink" Target="https://static.wikia.nocookie.net/plantsvszombies/images/7/7a/Ents2.png/revision/latest?cb=20220729021122" TargetMode="External"/><Relationship Id="rId267" Type="http://schemas.openxmlformats.org/officeDocument/2006/relationships/hyperlink" Target="https://static.wikia.nocookie.net/plantsvszombies/images/2/2c/Gatling_Pea2.png/revision/latest?cb=20220323010447" TargetMode="External"/><Relationship Id="rId288" Type="http://schemas.openxmlformats.org/officeDocument/2006/relationships/hyperlink" Target="https://static.wikia.nocookie.net/plantsvszombies/images/6/6a/Earthstar_Nuclear_Silo2.png/revision/latest?cb=20210526043408"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313" Type="http://schemas.openxmlformats.org/officeDocument/2006/relationships/hyperlink" Target="https://static.wikia.nocookie.net/plantsvszombies/images/6/62/Sunshine_Leek2.png/revision/latest?cb=20231228004246"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94" Type="http://schemas.openxmlformats.org/officeDocument/2006/relationships/hyperlink" Target="https://static.wikia.nocookie.net/plantsvszombies/images/0/0f/Pea-nut2.png/revision/latest?cb=20150822204951" TargetMode="External"/><Relationship Id="rId148" Type="http://schemas.openxmlformats.org/officeDocument/2006/relationships/hyperlink" Target="https://static.wikia.nocookie.net/plantsvszombies/images/a/af/Noctarine2.png/revision/latest?cb=20210717084648" TargetMode="External"/><Relationship Id="rId169" Type="http://schemas.openxmlformats.org/officeDocument/2006/relationships/hyperlink" Target="https://static.wikia.nocookie.net/plantsvszombies/images/0/0e/Bamboo_Spartan2.png/revision/latest?cb=20230419024648" TargetMode="External"/><Relationship Id="rId4" Type="http://schemas.openxmlformats.org/officeDocument/2006/relationships/hyperlink" Target="https://static.wikia.nocookie.net/plantsvszombies/images/a/a0/Potato_Mine2.png/revision/latest?cb=20221126065516" TargetMode="External"/><Relationship Id="rId180" Type="http://schemas.openxmlformats.org/officeDocument/2006/relationships/hyperlink" Target="https://static.wikia.nocookie.net/plantsvszombies/images/4/47/Aqua_Vine2.png/revision/latest?cb=20240316065724" TargetMode="External"/><Relationship Id="rId215" Type="http://schemas.openxmlformats.org/officeDocument/2006/relationships/hyperlink" Target="https://static.wikia.nocookie.net/plantsvszombies/images/9/98/Loquat2.png/revision/latest?cb=20221226045117" TargetMode="External"/><Relationship Id="rId236" Type="http://schemas.openxmlformats.org/officeDocument/2006/relationships/hyperlink" Target="https://static.wikia.nocookie.net/plantsvszombies/images/c/c9/Wax_Gourd_Guard2.png/revision/latest?cb=20190926013735" TargetMode="External"/><Relationship Id="rId257" Type="http://schemas.openxmlformats.org/officeDocument/2006/relationships/hyperlink" Target="https://static.wikia.nocookie.net/plantsvszombies/images/0/0f/Magic-shroom2.png/revision/latest?cb=20190714144506" TargetMode="External"/><Relationship Id="rId278" Type="http://schemas.openxmlformats.org/officeDocument/2006/relationships/hyperlink" Target="https://static.wikia.nocookie.net/plantsvszombies/images/a/a0/Narcissus_Shooter2.png/revision/latest?cb=20181202123451" TargetMode="External"/><Relationship Id="rId303" Type="http://schemas.openxmlformats.org/officeDocument/2006/relationships/hyperlink" Target="https://static.wikia.nocookie.net/plantsvszombies/images/e/e0/Burdock_Batter2.png/revision/latest?cb=20230309021850" TargetMode="External"/><Relationship Id="rId42" Type="http://schemas.openxmlformats.org/officeDocument/2006/relationships/hyperlink" Target="https://static.wikia.nocookie.net/plantsvszombies/images/2/27/Magnifying_Grass2.png/revision/latest?cb=2018123019084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3/36/Boingsetta2.png/revision/latest?cb=20201030053226" TargetMode="External"/><Relationship Id="rId191" Type="http://schemas.openxmlformats.org/officeDocument/2006/relationships/hyperlink" Target="https://static.wikia.nocookie.net/plantsvszombies/images/1/18/Gold_Magnet1.png/revision/latest?cb=20170630021728" TargetMode="External"/><Relationship Id="rId205" Type="http://schemas.openxmlformats.org/officeDocument/2006/relationships/hyperlink" Target="https://static.wikia.nocookie.net/plantsvszombies/images/6/6e/Fire_Gourd2.png/revision/latest?cb=20230918030431" TargetMode="External"/><Relationship Id="rId247" Type="http://schemas.openxmlformats.org/officeDocument/2006/relationships/hyperlink" Target="https://static.wikia.nocookie.net/plantsvszombies/images/8/85/Princess_Spring_Grass2.png/revision/latest?cb=20220729021016" TargetMode="External"/><Relationship Id="rId107" Type="http://schemas.openxmlformats.org/officeDocument/2006/relationships/hyperlink" Target="https://static.wikia.nocookie.net/plantsvszombies/images/3/3c/Dandelion2.png/revision/latest?cb=20150822203823" TargetMode="External"/><Relationship Id="rId289" Type="http://schemas.openxmlformats.org/officeDocument/2006/relationships/hyperlink" Target="https://static.wikia.nocookie.net/plantsvszombies/images/b/bb/Celebration_Soda_Palm2.png/revision/latest?cb=20210816072216" TargetMode="External"/><Relationship Id="rId11" Type="http://schemas.openxmlformats.org/officeDocument/2006/relationships/hyperlink" Target="https://static.wikia.nocookie.net/plantsvszombies/images/1/1e/Twin_Sunflower2.png/revision/latest?cb=20221126071524" TargetMode="External"/><Relationship Id="rId53" Type="http://schemas.openxmlformats.org/officeDocument/2006/relationships/hyperlink" Target="https://static.wikia.nocookie.net/plantsvszombies/images/d/d6/Spore-shroom2.png/revision/latest?cb=20180304014203" TargetMode="External"/><Relationship Id="rId149" Type="http://schemas.openxmlformats.org/officeDocument/2006/relationships/hyperlink" Target="https://static.wikia.nocookie.net/plantsvszombies/images/4/49/Heath_Seeker2.png/revision/latest?cb=20210916015504" TargetMode="External"/><Relationship Id="rId314" Type="http://schemas.openxmlformats.org/officeDocument/2006/relationships/hyperlink" Target="https://static.wikia.nocookie.net/plantsvszombies/images/f/f1/Gluttonous_Snapdragon2.png/revision/latest?cb=20240202052734"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2/28/Vamporcini2.png/revision/latest?cb=20220916012705" TargetMode="External"/><Relationship Id="rId216" Type="http://schemas.openxmlformats.org/officeDocument/2006/relationships/hyperlink" Target="https://static.wikia.nocookie.net/plantsvszombies/images/c/cf/Asparagus2.png/revision/latest?cb=20221225063419" TargetMode="External"/><Relationship Id="rId258" Type="http://schemas.openxmlformats.org/officeDocument/2006/relationships/hyperlink" Target="https://static.wikia.nocookie.net/plantsvszombies/images/e/e5/Mischief_Radish2.png/revision/latest?cb=20230111005136" TargetMode="External"/><Relationship Id="rId22" Type="http://schemas.openxmlformats.org/officeDocument/2006/relationships/hyperlink" Target="https://static.wikia.nocookie.net/plantsvszombies/images/1/13/Pea_Pod2.png/revision/latest?cb=20141116195736"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171" Type="http://schemas.openxmlformats.org/officeDocument/2006/relationships/hyperlink" Target="https://static.wikia.nocookie.net/plantsvszombies/images/e/e9/Bean_Sprout2.png/revision/latest?cb=20230826230227" TargetMode="External"/><Relationship Id="rId227" Type="http://schemas.openxmlformats.org/officeDocument/2006/relationships/hyperlink" Target="https://static.wikia.nocookie.net/plantsvszombies/images/2/22/Sugarcane_Master2.png/revision/latest?cb=20221220085223" TargetMode="External"/><Relationship Id="rId269" Type="http://schemas.openxmlformats.org/officeDocument/2006/relationships/hyperlink" Target="https://static.wikia.nocookie.net/plantsvszombies/images/f/f8/Flame_Flower_Queen2.png/revision/latest?cb=20221208001810" TargetMode="External"/><Relationship Id="rId33" Type="http://schemas.openxmlformats.org/officeDocument/2006/relationships/hyperlink" Target="https://static.wikia.nocookie.net/plantsvszombies/images/7/7f/A.K.E.E.2.png/revision/latest?cb=20160902061921" TargetMode="External"/><Relationship Id="rId129" Type="http://schemas.openxmlformats.org/officeDocument/2006/relationships/hyperlink" Target="https://static.wikia.nocookie.net/plantsvszombies/images/9/9a/Gumnut2.png/revision/latest?cb=20200318003556" TargetMode="External"/><Relationship Id="rId280" Type="http://schemas.openxmlformats.org/officeDocument/2006/relationships/hyperlink" Target="https://static.wikia.nocookie.net/plantsvszombies/images/c/c8/Crystal_Orchid2.png/revision/latest?cb=20230222040307" TargetMode="External"/><Relationship Id="rId75" Type="http://schemas.openxmlformats.org/officeDocument/2006/relationships/hyperlink" Target="https://static.wikia.nocookie.net/plantsvszombies/images/3/30/Strawburst2.png/revision/latest?cb=20161026010927" TargetMode="External"/><Relationship Id="rId140" Type="http://schemas.openxmlformats.org/officeDocument/2006/relationships/hyperlink" Target="https://static.wikia.nocookie.net/plantsvszombies/images/b/bd/Hocus_Crocus2.png/revision/latest?cb=20210205223344" TargetMode="External"/><Relationship Id="rId182" Type="http://schemas.openxmlformats.org/officeDocument/2006/relationships/hyperlink" Target="https://static.wikia.nocookie.net/plantsvszombies/images/2/21/Blast_Spinner2.png/revision/latest?cb=20240825171337" TargetMode="External"/><Relationship Id="rId6" Type="http://schemas.openxmlformats.org/officeDocument/2006/relationships/hyperlink" Target="https://static.wikia.nocookie.net/plantsvszombies/images/5/57/Bloomerang2.png/revision/latest?cb=20221126070057" TargetMode="External"/><Relationship Id="rId238" Type="http://schemas.openxmlformats.org/officeDocument/2006/relationships/hyperlink" Target="https://static.wikia.nocookie.net/plantsvszombies/images/e/ee/Jeweler_Pomegranate2.png/revision/latest?cb=20191215184623" TargetMode="External"/><Relationship Id="rId291" Type="http://schemas.openxmlformats.org/officeDocument/2006/relationships/hyperlink" Target="https://static.wikia.nocookie.net/plantsvszombies/images/5/59/Tiger_Claw2.png/revision/latest?cb=20211018033803" TargetMode="External"/><Relationship Id="rId305" Type="http://schemas.openxmlformats.org/officeDocument/2006/relationships/hyperlink" Target="https://static.wikia.nocookie.net/plantsvszombies/images/c/ce/Cranesbill_Fencer2.png/revision/latest?cb=20230430190734" TargetMode="External"/><Relationship Id="rId44" Type="http://schemas.openxmlformats.org/officeDocument/2006/relationships/hyperlink" Target="https://static.wikia.nocookie.net/plantsvszombies/images/e/e0/Sun-shroom2.png/revision/latest?cb=20190221195748" TargetMode="External"/><Relationship Id="rId86" Type="http://schemas.openxmlformats.org/officeDocument/2006/relationships/hyperlink" Target="https://static.wikia.nocookie.net/plantsvszombies/images/5/5f/Parsnip2.png/revision/latest?cb=20220316060035" TargetMode="External"/><Relationship Id="rId151" Type="http://schemas.openxmlformats.org/officeDocument/2006/relationships/hyperlink" Target="https://static.wikia.nocookie.net/plantsvszombies/images/6/6f/Tiger_Grass2.png/revision/latest?cb=20211212021638" TargetMode="External"/><Relationship Id="rId193" Type="http://schemas.openxmlformats.org/officeDocument/2006/relationships/hyperlink" Target="https://static.wikia.nocookie.net/plantsvszombies/images/0/02/PopcornA.png/revision/latest?cb=20130809003435" TargetMode="External"/><Relationship Id="rId207" Type="http://schemas.openxmlformats.org/officeDocument/2006/relationships/hyperlink" Target="https://static.wikia.nocookie.net/plantsvszombies/images/2/2c/Bamboo_Shoot2.png/revision/latest?cb=20230331050619" TargetMode="External"/><Relationship Id="rId249" Type="http://schemas.openxmlformats.org/officeDocument/2006/relationships/hyperlink" Target="https://static.wikia.nocookie.net/plantsvszombies/images/a/a1/Pyro-shroom2.png/revision/latest?cb=20230226070859" TargetMode="External"/><Relationship Id="rId13" Type="http://schemas.openxmlformats.org/officeDocument/2006/relationships/hyperlink" Target="https://static.wikia.nocookie.net/plantsvszombies/images/f/f8/Snapdragon2.png/revision/latest?cb=20221126072250" TargetMode="External"/><Relationship Id="rId109" Type="http://schemas.openxmlformats.org/officeDocument/2006/relationships/hyperlink" Target="https://static.wikia.nocookie.net/plantsvszombies/images/4/42/Explode-O-Nut2.png/revision/latest?cb=20160617175238" TargetMode="External"/><Relationship Id="rId260" Type="http://schemas.openxmlformats.org/officeDocument/2006/relationships/hyperlink" Target="https://static.wikia.nocookie.net/plantsvszombies/images/6/6c/Sunflower_Singer2.png/revision/latest?cb=20221208003802" TargetMode="External"/><Relationship Id="rId316" Type="http://schemas.openxmlformats.org/officeDocument/2006/relationships/hyperlink" Target="https://static.wikia.nocookie.net/plantsvszombies/images/d/db/Thorn_Wizard2.png/revision/latest?cb=20240423072847"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99" Type="http://schemas.openxmlformats.org/officeDocument/2006/relationships/hyperlink" Target="https://static.wikia.nocookie.net/plantsvszombies/images/3/39/Orchid_Mage2.png/revision/latest?cb=20221109070331" TargetMode="External"/><Relationship Id="rId21" Type="http://schemas.openxmlformats.org/officeDocument/2006/relationships/hyperlink" Target="https://static.wikia.nocookie.net/plantsvszombies/images/a/a1/Chili_Bean2.png/revision/latest?cb=20160827004139" TargetMode="External"/><Relationship Id="rId63" Type="http://schemas.openxmlformats.org/officeDocument/2006/relationships/hyperlink" Target="https://static.wikia.nocookie.net/plantsvszombies/images/9/96/Guacodile2.png/revision/latest?cb=20160818024252" TargetMode="External"/><Relationship Id="rId159" Type="http://schemas.openxmlformats.org/officeDocument/2006/relationships/hyperlink" Target="https://static.wikia.nocookie.net/plantsvszombies/images/d/d4/Tomb_Tangler2.png/revision/latest?cb=20220825052601" TargetMode="External"/><Relationship Id="rId324" Type="http://schemas.openxmlformats.org/officeDocument/2006/relationships/table" Target="../tables/table7.xml"/><Relationship Id="rId170" Type="http://schemas.openxmlformats.org/officeDocument/2006/relationships/hyperlink" Target="https://static.wikia.nocookie.net/plantsvszombies/images/9/9e/Sundew_Tangler2.png/revision/latest?cb=20230607011345" TargetMode="External"/><Relationship Id="rId226" Type="http://schemas.openxmlformats.org/officeDocument/2006/relationships/hyperlink" Target="https://static.wikia.nocookie.net/plantsvszombies/images/d/d4/Timid_Thorns2.png/revision/latest?cb=20221215222719" TargetMode="External"/><Relationship Id="rId268" Type="http://schemas.openxmlformats.org/officeDocument/2006/relationships/hyperlink" Target="https://static.wikia.nocookie.net/plantsvszombies/images/9/91/Banksia_Boxer2.png/revision/latest?cb=20221208011223" TargetMode="External"/><Relationship Id="rId32" Type="http://schemas.openxmlformats.org/officeDocument/2006/relationships/hyperlink" Target="https://static.wikia.nocookie.net/plantsvszombies/images/6/66/Red_Stinger2.png/revision/latest?cb=20160914232205"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5" Type="http://schemas.openxmlformats.org/officeDocument/2006/relationships/hyperlink" Target="https://static.wikia.nocookie.net/plantsvszombies/images/7/76/Cabbage-pult2.png/revision/latest?cb=20221206062917" TargetMode="External"/><Relationship Id="rId181" Type="http://schemas.openxmlformats.org/officeDocument/2006/relationships/hyperlink" Target="https://static.wikia.nocookie.net/plantsvszombies/images/d/de/Mangofier2.png/revision/latest?cb=20240316153318" TargetMode="External"/><Relationship Id="rId237" Type="http://schemas.openxmlformats.org/officeDocument/2006/relationships/hyperlink" Target="https://static.wikia.nocookie.net/plantsvszombies/images/2/2e/Oily_Olive2.png/revision/latest?cb=20191214184514" TargetMode="External"/><Relationship Id="rId279" Type="http://schemas.openxmlformats.org/officeDocument/2006/relationships/hyperlink" Target="https://static.wikia.nocookie.net/plantsvszombies/images/0/0f/Alarm_Explosive_Arrowhead2.png/revision/latest?cb=20190131143929" TargetMode="External"/><Relationship Id="rId43" Type="http://schemas.openxmlformats.org/officeDocument/2006/relationships/hyperlink" Target="https://static.wikia.nocookie.net/plantsvszombies/images/f/fa/Tile_Turnip2.png/revision/latest?cb=20181230192657" TargetMode="External"/><Relationship Id="rId139" Type="http://schemas.openxmlformats.org/officeDocument/2006/relationships/hyperlink" Target="https://static.wikia.nocookie.net/plantsvszombies/images/f/f5/Stickybomb_Rice2.png/revision/latest?cb=20220219132542" TargetMode="External"/><Relationship Id="rId290" Type="http://schemas.openxmlformats.org/officeDocument/2006/relationships/hyperlink" Target="https://static.wikia.nocookie.net/plantsvszombies/images/0/0c/Impatiens_Shooter2.png/revision/latest?cb=20211018030240" TargetMode="External"/><Relationship Id="rId304" Type="http://schemas.openxmlformats.org/officeDocument/2006/relationships/hyperlink" Target="https://static.wikia.nocookie.net/plantsvszombies/images/3/30/Capaci-cone2.png/revision/latest?cb=20230430190812"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d/d9/Iceweed2.png/revision/latest?cb=20211115203447" TargetMode="External"/><Relationship Id="rId192" Type="http://schemas.openxmlformats.org/officeDocument/2006/relationships/hyperlink" Target="https://static.wikia.nocookie.net/plantsvszombies/images/6/6a/AspearagusA.png/revision/latest?cb=20130502101541" TargetMode="External"/><Relationship Id="rId206" Type="http://schemas.openxmlformats.org/officeDocument/2006/relationships/hyperlink" Target="https://static.wikia.nocookie.net/plantsvszombies/images/5/54/Heavenly_Peach2.png/revision/latest?cb=20230402051504" TargetMode="External"/><Relationship Id="rId248" Type="http://schemas.openxmlformats.org/officeDocument/2006/relationships/hyperlink" Target="https://static.wikia.nocookie.net/plantsvszombies/images/1/17/Bamboo_Trooper2.png/revision/latest?cb=20220728220644" TargetMode="External"/><Relationship Id="rId12" Type="http://schemas.openxmlformats.org/officeDocument/2006/relationships/hyperlink" Target="https://static.wikia.nocookie.net/plantsvszombies/images/b/b4/Kernel-pult2.png/revision/latest?cb=20221126072120" TargetMode="External"/><Relationship Id="rId108" Type="http://schemas.openxmlformats.org/officeDocument/2006/relationships/hyperlink" Target="https://static.wikia.nocookie.net/plantsvszombies/images/9/95/Blooming_Heart2.png/revision/latest?cb=20160204153716" TargetMode="External"/><Relationship Id="rId315" Type="http://schemas.openxmlformats.org/officeDocument/2006/relationships/hyperlink" Target="https://static.wikia.nocookie.net/plantsvszombies/images/5/50/Heliconia_Gunner2.png/revision/latest?cb=20240312005444" TargetMode="External"/><Relationship Id="rId54" Type="http://schemas.openxmlformats.org/officeDocument/2006/relationships/hyperlink" Target="https://static.wikia.nocookie.net/plantsvszombies/images/9/93/Intensive_Carrot2.png/revision/latest?cb=20150919111412" TargetMode="External"/><Relationship Id="rId96" Type="http://schemas.openxmlformats.org/officeDocument/2006/relationships/hyperlink" Target="https://static.wikia.nocookie.net/plantsvszombies/images/b/b2/Ghost_Pepper2.png/revision/latest?cb=20160916010938" TargetMode="External"/><Relationship Id="rId161" Type="http://schemas.openxmlformats.org/officeDocument/2006/relationships/hyperlink" Target="https://static.wikia.nocookie.net/plantsvszombies/images/1/15/Meteor_Flower2.png/revision/latest?cb=20220916012728" TargetMode="External"/><Relationship Id="rId217" Type="http://schemas.openxmlformats.org/officeDocument/2006/relationships/hyperlink" Target="https://static.wikia.nocookie.net/plantsvszombies/images/f/f3/Saucer2.png/revision/latest?cb=20221226045102" TargetMode="External"/><Relationship Id="rId259" Type="http://schemas.openxmlformats.org/officeDocument/2006/relationships/hyperlink" Target="https://static.wikia.nocookie.net/plantsvszombies/images/b/b0/Pumpkin_Witch2.png/revision/latest?cb=20220307174545"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270" Type="http://schemas.openxmlformats.org/officeDocument/2006/relationships/hyperlink" Target="https://static.wikia.nocookie.net/plantsvszombies/images/b/ba/Cattail2.png/revision/latest?cb=20210908084210" TargetMode="External"/><Relationship Id="rId65" Type="http://schemas.openxmlformats.org/officeDocument/2006/relationships/hyperlink" Target="https://static.wikia.nocookie.net/plantsvszombies/images/5/55/Moonflower2.png/revision/latest?cb=20160904210356" TargetMode="External"/><Relationship Id="rId130" Type="http://schemas.openxmlformats.org/officeDocument/2006/relationships/hyperlink" Target="https://static.wikia.nocookie.net/plantsvszombies/images/9/97/Shine_Vine2.png/revision/latest?cb=20200625090602" TargetMode="External"/><Relationship Id="rId172" Type="http://schemas.openxmlformats.org/officeDocument/2006/relationships/hyperlink" Target="https://static.wikia.nocookie.net/plantsvszombies/images/7/7f/Nightcap2.png/revision/latest?cb=20230314003500" TargetMode="External"/><Relationship Id="rId228" Type="http://schemas.openxmlformats.org/officeDocument/2006/relationships/hyperlink" Target="https://static.wikia.nocookie.net/plantsvszombies/images/d/dd/Flat-shroom2.png/revision/latest?cb=20180825114906" TargetMode="External"/><Relationship Id="rId281" Type="http://schemas.openxmlformats.org/officeDocument/2006/relationships/hyperlink" Target="https://static.wikia.nocookie.net/plantsvszombies/images/e/e9/Thunder_Snapdragon2.png/revision/latest?cb=20190810152622" TargetMode="External"/><Relationship Id="rId34" Type="http://schemas.openxmlformats.org/officeDocument/2006/relationships/hyperlink" Target="https://static.wikia.nocookie.net/plantsvszombies/images/5/52/Endurian2.png/revision/latest?cb=20160831005313" TargetMode="External"/><Relationship Id="rId55" Type="http://schemas.openxmlformats.org/officeDocument/2006/relationships/hyperlink" Target="https://static.wikia.nocookie.net/plantsvszombies/images/b/b6/Primal_Peashooter2.png/revision/latest?cb=20160831064137" TargetMode="External"/><Relationship Id="rId76" Type="http://schemas.openxmlformats.org/officeDocument/2006/relationships/hyperlink" Target="https://static.wikia.nocookie.net/plantsvszombies/images/a/aa/Cactus2.png/revision/latest?cb=20150823165854" TargetMode="External"/><Relationship Id="rId97" Type="http://schemas.openxmlformats.org/officeDocument/2006/relationships/hyperlink" Target="https://static.wikia.nocookie.net/plantsvszombies/images/1/1a/Sweet_Potato2.png/revision/latest?cb=20150823165444" TargetMode="External"/><Relationship Id="rId120" Type="http://schemas.openxmlformats.org/officeDocument/2006/relationships/hyperlink" Target="https://static.wikia.nocookie.net/plantsvszombies/images/6/69/Electrici-tea2.png/revision/latest?cb=20200601162225" TargetMode="External"/><Relationship Id="rId141" Type="http://schemas.openxmlformats.org/officeDocument/2006/relationships/hyperlink" Target="https://static.wikia.nocookie.net/plantsvszombies/images/8/8a/Gloom_Vine2.png/revision/latest?cb=20210205225758" TargetMode="External"/><Relationship Id="rId7" Type="http://schemas.openxmlformats.org/officeDocument/2006/relationships/hyperlink" Target="https://static.wikia.nocookie.net/plantsvszombies/images/d/d0/Iceberg_Lettuce2.png/revision/latest?cb=20221126070154" TargetMode="External"/><Relationship Id="rId162" Type="http://schemas.openxmlformats.org/officeDocument/2006/relationships/hyperlink" Target="https://static.wikia.nocookie.net/plantsvszombies/images/d/da/Chilly_Pepper2.png/revision/latest?cb=20221105224813" TargetMode="External"/><Relationship Id="rId183" Type="http://schemas.openxmlformats.org/officeDocument/2006/relationships/hyperlink" Target="https://static.wikia.nocookie.net/plantsvszombies/images/9/92/Doom-shroom2.png/revision/latest?cb=20241103020717" TargetMode="External"/><Relationship Id="rId218" Type="http://schemas.openxmlformats.org/officeDocument/2006/relationships/hyperlink" Target="https://static.wikia.nocookie.net/plantsvszombies/images/6/63/Horsebean2.png/revision/latest?cb=20221226045045" TargetMode="External"/><Relationship Id="rId239" Type="http://schemas.openxmlformats.org/officeDocument/2006/relationships/hyperlink" Target="https://static.wikia.nocookie.net/plantsvszombies/images/6/6b/Dripping_Diphylleia2.png/revision/latest?cb=20210125075450" TargetMode="External"/><Relationship Id="rId250" Type="http://schemas.openxmlformats.org/officeDocument/2006/relationships/hyperlink" Target="https://static.wikia.nocookie.net/plantsvszombies/images/5/51/Cryo-shroom2.png/revision/latest?cb=20230226070920" TargetMode="External"/><Relationship Id="rId271" Type="http://schemas.openxmlformats.org/officeDocument/2006/relationships/hyperlink" Target="https://static.wikia.nocookie.net/plantsvszombies/images/7/73/Cob_Cannon2C.png/revision/latest?cb=20170128062225" TargetMode="External"/><Relationship Id="rId292" Type="http://schemas.openxmlformats.org/officeDocument/2006/relationships/hyperlink" Target="https://static.wikia.nocookie.net/plantsvszombies/images/7/75/Hammer_Flower2.png/revision/latest?cb=20211205022154" TargetMode="External"/><Relationship Id="rId306" Type="http://schemas.openxmlformats.org/officeDocument/2006/relationships/hyperlink" Target="https://static.wikia.nocookie.net/plantsvszombies/images/6/65/Gorgon_Pitcher2.png/revision/latest?cb=20230526001308" TargetMode="External"/><Relationship Id="rId24" Type="http://schemas.openxmlformats.org/officeDocument/2006/relationships/hyperlink" Target="https://static.wikia.nocookie.net/plantsvszombies/images/f/fe/Melon-pult2.png/revision/latest?cb=20141116195851"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31" Type="http://schemas.openxmlformats.org/officeDocument/2006/relationships/hyperlink" Target="https://static.wikia.nocookie.net/plantsvszombies/images/4/48/Tumbleweed2.png/revision/latest?cb=20200512045045" TargetMode="External"/><Relationship Id="rId152" Type="http://schemas.openxmlformats.org/officeDocument/2006/relationships/hyperlink" Target="https://static.wikia.nocookie.net/plantsvszombies/images/1/1b/Teleportato_Mine2.png/revision/latest?cb=20211212021625" TargetMode="External"/><Relationship Id="rId173" Type="http://schemas.openxmlformats.org/officeDocument/2006/relationships/hyperlink" Target="https://static.wikia.nocookie.net/plantsvszombies/images/f/fc/Cran_Jelly2.png/revision/latest?cb=20230826073858" TargetMode="External"/><Relationship Id="rId194" Type="http://schemas.openxmlformats.org/officeDocument/2006/relationships/hyperlink" Target="https://static.wikia.nocookie.net/plantsvszombies/images/3/32/BeetA.png/revision/latest?cb=20130510211801" TargetMode="External"/><Relationship Id="rId208" Type="http://schemas.openxmlformats.org/officeDocument/2006/relationships/hyperlink" Target="https://static.wikia.nocookie.net/plantsvszombies/images/6/69/Oak_Archer2.png/revision/latest?cb=20150322200617" TargetMode="External"/><Relationship Id="rId229" Type="http://schemas.openxmlformats.org/officeDocument/2006/relationships/hyperlink" Target="https://static.wikia.nocookie.net/plantsvszombies/images/7/72/Lotus_Shooter2.png/revision/latest?cb=20230909021319" TargetMode="External"/><Relationship Id="rId240" Type="http://schemas.openxmlformats.org/officeDocument/2006/relationships/hyperlink" Target="https://static.wikia.nocookie.net/plantsvszombies/images/f/fd/Dendrobium_Windbreak2.png/revision/latest?cb=20210207112655" TargetMode="External"/><Relationship Id="rId261" Type="http://schemas.openxmlformats.org/officeDocument/2006/relationships/hyperlink" Target="https://static.wikia.nocookie.net/plantsvszombies/images/5/57/Snow_Cotton2.png/revision/latest?cb=20210905073138" TargetMode="External"/><Relationship Id="rId14" Type="http://schemas.openxmlformats.org/officeDocument/2006/relationships/hyperlink" Target="https://static.wikia.nocookie.net/plantsvszombies/images/0/07/Spikeweed2.png/revision/latest?cb=20221206063052"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282" Type="http://schemas.openxmlformats.org/officeDocument/2006/relationships/hyperlink" Target="https://static.wikia.nocookie.net/plantsvszombies/images/a/ae/Egret_Flower_Plane2.png/revision/latest?cb=20200114205809" TargetMode="External"/><Relationship Id="rId317" Type="http://schemas.openxmlformats.org/officeDocument/2006/relationships/hyperlink" Target="https://static.wikia.nocookie.net/plantsvszombies/images/6/61/Cactus_Mistletoe2.png/revision/latest?cb=20240523193645" TargetMode="External"/><Relationship Id="rId8" Type="http://schemas.openxmlformats.org/officeDocument/2006/relationships/hyperlink" Target="https://static.wikia.nocookie.net/plantsvszombies/images/1/1d/Grave_Buster2.png/revision/latest?cb=20221126070428"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5/52/Draftodil2.png/revision/latest?cb=20210203212740" TargetMode="External"/><Relationship Id="rId163" Type="http://schemas.openxmlformats.org/officeDocument/2006/relationships/hyperlink" Target="https://static.wikia.nocookie.net/plantsvszombies/images/4/4f/Bun_Chi2.png/revision/latest?cb=20230201230126" TargetMode="External"/><Relationship Id="rId184" Type="http://schemas.openxmlformats.org/officeDocument/2006/relationships/hyperlink" Target="https://static.wikia.nocookie.net/plantsvszombies/images/7/79/Blaze_Leaf2.png/revision/latest?cb=20241024015246" TargetMode="External"/><Relationship Id="rId219" Type="http://schemas.openxmlformats.org/officeDocument/2006/relationships/hyperlink" Target="https://static.wikia.nocookie.net/plantsvszombies/images/2/2e/Groundcherry2.png/revision/latest?cb=20221226045026" TargetMode="External"/><Relationship Id="rId230" Type="http://schemas.openxmlformats.org/officeDocument/2006/relationships/hyperlink" Target="https://static.wikia.nocookie.net/plantsvszombies/images/7/76/Maypop_Mechanic2.png/revision/latest?cb=20190319131928" TargetMode="External"/><Relationship Id="rId251" Type="http://schemas.openxmlformats.org/officeDocument/2006/relationships/hyperlink" Target="https://static.wikia.nocookie.net/plantsvszombies/images/e/e1/Carrotillery2.png/revision/latest?cb=20190321155305"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272" Type="http://schemas.openxmlformats.org/officeDocument/2006/relationships/hyperlink" Target="https://static.wikia.nocookie.net/plantsvszombies/images/0/0a/White_Melon_Sumo_Wrestler2.png/revision/latest?cb=20170701025441" TargetMode="External"/><Relationship Id="rId293" Type="http://schemas.openxmlformats.org/officeDocument/2006/relationships/hyperlink" Target="https://static.wikia.nocookie.net/plantsvszombies/images/9/9f/Fishhook_Grass2.png/revision/latest?cb=20211205022802" TargetMode="External"/><Relationship Id="rId307" Type="http://schemas.openxmlformats.org/officeDocument/2006/relationships/hyperlink" Target="https://static.wikia.nocookie.net/plantsvszombies/images/4/47/Abyss_Anemone2.png/revision/latest?cb=20230707001419"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5/54/Olive_Pit2.png/revision/latest?cb=20240907001418" TargetMode="External"/><Relationship Id="rId153" Type="http://schemas.openxmlformats.org/officeDocument/2006/relationships/hyperlink" Target="https://static.wikia.nocookie.net/plantsvszombies/images/2/2a/Blockoli2.png/revision/latest?cb=20220206062157" TargetMode="External"/><Relationship Id="rId174" Type="http://schemas.openxmlformats.org/officeDocument/2006/relationships/hyperlink" Target="https://static.wikia.nocookie.net/plantsvszombies/images/6/60/Bud%27uh_Boom2.png/revision/latest?cb=20231129165733" TargetMode="External"/><Relationship Id="rId195" Type="http://schemas.openxmlformats.org/officeDocument/2006/relationships/hyperlink" Target="https://static.wikia.nocookie.net/plantsvszombies/images/3/35/Magnet_PlantA.png/revision/latest?cb=20130521212819" TargetMode="External"/><Relationship Id="rId209" Type="http://schemas.openxmlformats.org/officeDocument/2006/relationships/hyperlink" Target="https://static.wikia.nocookie.net/plantsvszombies/images/e/e7/Coffee_Bean2.png/revision/latest?cb=20150322201447" TargetMode="External"/><Relationship Id="rId220" Type="http://schemas.openxmlformats.org/officeDocument/2006/relationships/hyperlink" Target="https://static.wikia.nocookie.net/plantsvszombies/images/3/3f/Anthurium2.png/revision/latest?cb=20221226044948" TargetMode="External"/><Relationship Id="rId241" Type="http://schemas.openxmlformats.org/officeDocument/2006/relationships/hyperlink" Target="https://static.wikia.nocookie.net/plantsvszombies/images/d/da/Stephania2.png/revision/latest?cb=20210207105812"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262" Type="http://schemas.openxmlformats.org/officeDocument/2006/relationships/hyperlink" Target="https://static.wikia.nocookie.net/plantsvszombies/images/e/e6/Agave2.png/revision/latest?cb=20211112011234" TargetMode="External"/><Relationship Id="rId283" Type="http://schemas.openxmlformats.org/officeDocument/2006/relationships/hyperlink" Target="https://static.wikia.nocookie.net/plantsvszombies/images/5/5d/Elaeocarpus-pult2.png/revision/latest?cb=20200418155447" TargetMode="External"/><Relationship Id="rId318" Type="http://schemas.openxmlformats.org/officeDocument/2006/relationships/hyperlink" Target="https://static.wikia.nocookie.net/plantsvszombies/images/3/36/Sawblade_Sundew2.png/revision/latest?cb=20240523204137" TargetMode="External"/><Relationship Id="rId78" Type="http://schemas.openxmlformats.org/officeDocument/2006/relationships/hyperlink" Target="https://static.wikia.nocookie.net/plantsvszombies/images/9/9a/Jack_O%27_Lantern2.png/revision/latest?cb=20160904215028"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2/23/Boom_Balloon_Flower2.png/revision/latest?cb=20220221101417" TargetMode="External"/><Relationship Id="rId164" Type="http://schemas.openxmlformats.org/officeDocument/2006/relationships/hyperlink" Target="https://static.wikia.nocookie.net/plantsvszombies/images/0/02/Bzzz_Button2.png/revision/latest?cb=20230201230140" TargetMode="External"/><Relationship Id="rId185" Type="http://schemas.openxmlformats.org/officeDocument/2006/relationships/hyperlink" Target="https://static.wikia.nocookie.net/plantsvszombies/images/8/84/Frost_Bonnet2.png/revision/latest?cb=20241024014551" TargetMode="External"/><Relationship Id="rId9" Type="http://schemas.openxmlformats.org/officeDocument/2006/relationships/hyperlink" Target="https://static.wikia.nocookie.net/plantsvszombies/images/7/75/Bonk_Choy2.png/revision/latest?cb=20221126070903" TargetMode="External"/><Relationship Id="rId210" Type="http://schemas.openxmlformats.org/officeDocument/2006/relationships/hyperlink" Target="https://static.wikia.nocookie.net/plantsvszombies/images/c/c6/Plantern2.png/revision/latest?cb=20150714005549" TargetMode="External"/><Relationship Id="rId26" Type="http://schemas.openxmlformats.org/officeDocument/2006/relationships/hyperlink" Target="https://static.wikia.nocookie.net/plantsvszombies/images/2/24/Winter_Melon2.png/revision/latest?cb=20141116195910" TargetMode="External"/><Relationship Id="rId231" Type="http://schemas.openxmlformats.org/officeDocument/2006/relationships/hyperlink" Target="https://static.wikia.nocookie.net/plantsvszombies/images/6/6e/Wind-Blowing_Vanilla2.png/revision/latest?cb=20180825120100" TargetMode="External"/><Relationship Id="rId252" Type="http://schemas.openxmlformats.org/officeDocument/2006/relationships/hyperlink" Target="https://static.wikia.nocookie.net/plantsvszombies/images/4/47/Strong_Broccoli2.png/revision/latest?cb=20240605051128" TargetMode="External"/><Relationship Id="rId273" Type="http://schemas.openxmlformats.org/officeDocument/2006/relationships/hyperlink" Target="https://static.wikia.nocookie.net/plantsvszombies/images/f/fb/Icy_Currant2.png/revision/latest?cb=20230226051255" TargetMode="External"/><Relationship Id="rId294" Type="http://schemas.openxmlformats.org/officeDocument/2006/relationships/hyperlink" Target="https://static.wikia.nocookie.net/plantsvszombies/images/d/d7/Mangosteen2.png/revision/latest?cb=20211222225341" TargetMode="External"/><Relationship Id="rId308" Type="http://schemas.openxmlformats.org/officeDocument/2006/relationships/hyperlink" Target="https://static.wikia.nocookie.net/plantsvszombies/images/4/41/Parkour_Mandrake2.png/revision/latest?cb=20230707000354" TargetMode="Externa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f/f8/Puffball2.png/revision/latest?cb=20200627015218" TargetMode="External"/><Relationship Id="rId154" Type="http://schemas.openxmlformats.org/officeDocument/2006/relationships/hyperlink" Target="https://static.wikia.nocookie.net/plantsvszombies/images/6/64/Buttercup2.png/revision/latest?cb=20220205081753" TargetMode="External"/><Relationship Id="rId175" Type="http://schemas.openxmlformats.org/officeDocument/2006/relationships/hyperlink" Target="https://static.wikia.nocookie.net/plantsvszombies/images/7/77/Ice-shroom2.png/revision/latest?cb=20231123040702" TargetMode="External"/><Relationship Id="rId196" Type="http://schemas.openxmlformats.org/officeDocument/2006/relationships/hyperlink" Target="https://static.wikia.nocookie.net/plantsvszombies/images/3/32/Flaming_PeaA.png/revision/latest?cb=20160403150613" TargetMode="External"/><Relationship Id="rId200" Type="http://schemas.openxmlformats.org/officeDocument/2006/relationships/hyperlink" Target="https://static.wikia.nocookie.net/plantsvszombies/images/0/04/BeeshooterA.png/revision/latest?cb=20130521192003" TargetMode="External"/><Relationship Id="rId16" Type="http://schemas.openxmlformats.org/officeDocument/2006/relationships/hyperlink" Target="https://static.wikia.nocookie.net/plantsvszombies/images/2/21/Coconut_Cannon2.png/revision/latest?cb=20221206063716" TargetMode="External"/><Relationship Id="rId221" Type="http://schemas.openxmlformats.org/officeDocument/2006/relationships/hyperlink" Target="https://static.wikia.nocookie.net/plantsvszombies/images/f/f7/Pineapple2.png/revision/latest?cb=20221226013615" TargetMode="External"/><Relationship Id="rId242" Type="http://schemas.openxmlformats.org/officeDocument/2006/relationships/hyperlink" Target="https://static.wikia.nocookie.net/plantsvszombies/images/d/d6/Tupistra_Stalker2.png/revision/latest?cb=20210207112128" TargetMode="External"/><Relationship Id="rId263" Type="http://schemas.openxmlformats.org/officeDocument/2006/relationships/hyperlink" Target="https://static.wikia.nocookie.net/plantsvszombies/images/b/bc/Kiwifruit2.png/revision/latest?cb=20221216040045" TargetMode="External"/><Relationship Id="rId284" Type="http://schemas.openxmlformats.org/officeDocument/2006/relationships/hyperlink" Target="https://static.wikia.nocookie.net/plantsvszombies/images/d/d2/Water_Chestnut_Brothers2.png/revision/latest?cb=20200716201954" TargetMode="External"/><Relationship Id="rId319" Type="http://schemas.openxmlformats.org/officeDocument/2006/relationships/hyperlink" Target="https://static.wikia.nocookie.net/plantsvszombies/images/3/3d/Electric_Tailgrape2.png/revision/latest?cb=20240711013633"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a/a1/Pea_Vine2.png/revision/latest?cb=20210916020642"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a/a8/BoomBerry2.png/revision/latest?cb=20230201230214" TargetMode="External"/><Relationship Id="rId186" Type="http://schemas.openxmlformats.org/officeDocument/2006/relationships/hyperlink" Target="https://static.wikia.nocookie.net/plantsvszombies/images/f/f0/Znake_Lily2.png/revision/latest?cb=20241011125933" TargetMode="External"/><Relationship Id="rId211" Type="http://schemas.openxmlformats.org/officeDocument/2006/relationships/hyperlink" Target="https://static.wikia.nocookie.net/plantsvszombies/images/e/e9/Acid_Lemon2.png/revision/latest?cb=20150805184227" TargetMode="External"/><Relationship Id="rId232" Type="http://schemas.openxmlformats.org/officeDocument/2006/relationships/hyperlink" Target="https://static.wikia.nocookie.net/plantsvszombies/images/a/ad/Convallaria_Pharmacist2.png/revision/latest?cb=20190217205325" TargetMode="External"/><Relationship Id="rId253" Type="http://schemas.openxmlformats.org/officeDocument/2006/relationships/hyperlink" Target="https://static.wikia.nocookie.net/plantsvszombies/images/d/d1/Machine_Gun_Pomegranate2.png/revision/latest?cb=20190714181437" TargetMode="External"/><Relationship Id="rId274" Type="http://schemas.openxmlformats.org/officeDocument/2006/relationships/hyperlink" Target="https://static.wikia.nocookie.net/plantsvszombies/images/5/54/Tulip_Trumpeter2.png/revision/latest?cb=20180330233219" TargetMode="External"/><Relationship Id="rId295" Type="http://schemas.openxmlformats.org/officeDocument/2006/relationships/hyperlink" Target="https://static.wikia.nocookie.net/plantsvszombies/images/f/f7/Tigerstool2.png/revision/latest?cb=20220125215427" TargetMode="External"/><Relationship Id="rId309" Type="http://schemas.openxmlformats.org/officeDocument/2006/relationships/hyperlink" Target="https://static.wikia.nocookie.net/plantsvszombies/images/8/8c/Abyss_Devil%27s_Claw2.png/revision/latest?cb=20230915022000"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5/54/Explode-o-Vine2.png/revision/latest?cb=20200803222649" TargetMode="External"/><Relationship Id="rId320" Type="http://schemas.openxmlformats.org/officeDocument/2006/relationships/hyperlink" Target="https://static.wikia.nocookie.net/plantsvszombies/images/a/ac/Gramophone_Datura2.png/revision/latest?cb=20240901124249"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b/Bramble_Bush2.png/revision/latest?cb=20220404224349" TargetMode="External"/><Relationship Id="rId176" Type="http://schemas.openxmlformats.org/officeDocument/2006/relationships/hyperlink" Target="https://static.wikia.nocookie.net/plantsvszombies/images/a/a9/Dragon_Bruit2.png/revision/latest?cb=20231218173201" TargetMode="External"/><Relationship Id="rId197" Type="http://schemas.openxmlformats.org/officeDocument/2006/relationships/hyperlink" Target="https://static.wikia.nocookie.net/plantsvszombies/images/1/12/ShamrockA.png/revision/latest?cb=20130521213245" TargetMode="External"/><Relationship Id="rId201" Type="http://schemas.openxmlformats.org/officeDocument/2006/relationships/hyperlink" Target="https://static.wikia.nocookie.net/plantsvszombies/images/8/84/Bamboo_Shoots3.png/revision/latest/scale-to-width-down/48?cb=20220505145717" TargetMode="External"/><Relationship Id="rId222" Type="http://schemas.openxmlformats.org/officeDocument/2006/relationships/hyperlink" Target="https://static.wikia.nocookie.net/plantsvszombies/images/c/c1/Jackfruit2.png/revision/latest?cb=20160122031402" TargetMode="External"/><Relationship Id="rId243" Type="http://schemas.openxmlformats.org/officeDocument/2006/relationships/hyperlink" Target="https://static.wikia.nocookie.net/plantsvszombies/images/6/63/Chef_Cypripedium2.png/revision/latest?cb=20210207112340" TargetMode="External"/><Relationship Id="rId264" Type="http://schemas.openxmlformats.org/officeDocument/2006/relationships/hyperlink" Target="https://static.wikia.nocookie.net/plantsvszombies/images/c/c0/Pretty_Plum2.png/revision/latest?cb=20170130043820" TargetMode="External"/><Relationship Id="rId285" Type="http://schemas.openxmlformats.org/officeDocument/2006/relationships/hyperlink" Target="https://static.wikia.nocookie.net/plantsvszombies/images/8/88/Dollarweed_Drummer2.png/revision/latest?cb=20201226065335"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310" Type="http://schemas.openxmlformats.org/officeDocument/2006/relationships/hyperlink" Target="https://static.wikia.nocookie.net/plantsvszombies/images/a/a6/Hoya_Heart2.png/revision/latest?cb=20230903215635"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7/7e/Inferno2.png/revision/latest?cb=20210916020513" TargetMode="External"/><Relationship Id="rId166" Type="http://schemas.openxmlformats.org/officeDocument/2006/relationships/hyperlink" Target="https://static.wikia.nocookie.net/plantsvszombies/images/8/8f/SeaFlora2.png/revision/latest?cb=20230314003534" TargetMode="External"/><Relationship Id="rId187" Type="http://schemas.openxmlformats.org/officeDocument/2006/relationships/hyperlink" Target="https://static.wikia.nocookie.net/plantsvszombies/images/a/a4/Sweetheart_Snare2.png/revision/latest/scale-to-width-down/70?cb=20250121231122" TargetMode="External"/><Relationship Id="rId1" Type="http://schemas.openxmlformats.org/officeDocument/2006/relationships/hyperlink" Target="https://static.wikia.nocookie.net/plantsvszombies/images/c/ca/Peashooter2.png/revision/latest?cb=20221126065143" TargetMode="External"/><Relationship Id="rId212" Type="http://schemas.openxmlformats.org/officeDocument/2006/relationships/hyperlink" Target="https://static.wikia.nocookie.net/plantsvszombies/images/5/57/Lotus_Pod2.png/revision/latest?cb=20150517073958" TargetMode="External"/><Relationship Id="rId233" Type="http://schemas.openxmlformats.org/officeDocument/2006/relationships/hyperlink" Target="https://static.wikia.nocookie.net/plantsvszombies/images/a/a5/Mulberry_Blaster2.png/revision/latest?cb=20190321155348" TargetMode="External"/><Relationship Id="rId254" Type="http://schemas.openxmlformats.org/officeDocument/2006/relationships/hyperlink" Target="https://static.wikia.nocookie.net/plantsvszombies/images/3/3f/Landlord_Bamboo2.png/revision/latest?cb=20160818132722"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275" Type="http://schemas.openxmlformats.org/officeDocument/2006/relationships/hyperlink" Target="https://static.wikia.nocookie.net/plantsvszombies/images/5/55/Eggplant_Ninja2.png/revision/latest?cb=20230226051118" TargetMode="External"/><Relationship Id="rId296" Type="http://schemas.openxmlformats.org/officeDocument/2006/relationships/hyperlink" Target="https://static.wikia.nocookie.net/plantsvszombies/images/f/f1/Gardener_Grass2.png/revision/latest?cb=20220311003749" TargetMode="External"/><Relationship Id="rId300" Type="http://schemas.openxmlformats.org/officeDocument/2006/relationships/hyperlink" Target="https://static.wikia.nocookie.net/plantsvszombies/images/b/b9/Twin_Year_of_the_Rabbits2.png/revision/latest?cb=20230129074906" TargetMode="External"/><Relationship Id="rId60" Type="http://schemas.openxmlformats.org/officeDocument/2006/relationships/hyperlink" Target="https://static.wikia.nocookie.net/plantsvszombies/images/e/ec/Primal_Potato_Mine2.png/revision/latest?cb=20151215015144"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e/e6/Murkadamia_Nut2.png/revision/latest?cb=20220219133005" TargetMode="External"/><Relationship Id="rId156" Type="http://schemas.openxmlformats.org/officeDocument/2006/relationships/hyperlink" Target="https://static.wikia.nocookie.net/plantsvszombies/images/f/f6/Rhubarbarian2.png/revision/latest?cb=20220512063614" TargetMode="External"/><Relationship Id="rId177" Type="http://schemas.openxmlformats.org/officeDocument/2006/relationships/hyperlink" Target="https://static.wikia.nocookie.net/plantsvszombies/images/4/49/Electric_Peel2.png/revision/latest?cb=20240321225940" TargetMode="External"/><Relationship Id="rId198" Type="http://schemas.openxmlformats.org/officeDocument/2006/relationships/hyperlink" Target="https://static.wikia.nocookie.net/plantsvszombies/images/6/66/Bamboo_ShootA.png/revision/latest?cb=20130524081642" TargetMode="External"/><Relationship Id="rId321" Type="http://schemas.openxmlformats.org/officeDocument/2006/relationships/hyperlink" Target="https://static.wikia.nocookie.net/plantsvszombies/images/3/33/Crazy_Firecracker_Flower2.png/revision/latest?cb=20240901124501" TargetMode="External"/><Relationship Id="rId202" Type="http://schemas.openxmlformats.org/officeDocument/2006/relationships/hyperlink" Target="https://static.wikia.nocookie.net/plantsvszombies/images/9/9d/Lychee3.png/revision/latest/scale-to-width-down/48?cb=20241119002150" TargetMode="External"/><Relationship Id="rId223" Type="http://schemas.openxmlformats.org/officeDocument/2006/relationships/hyperlink" Target="https://static.wikia.nocookie.net/plantsvszombies/images/2/2d/Morning_Glory2.png/revision/latest?cb=20221226051932" TargetMode="External"/><Relationship Id="rId244" Type="http://schemas.openxmlformats.org/officeDocument/2006/relationships/hyperlink" Target="https://static.wikia.nocookie.net/plantsvszombies/images/a/ae/Boophone_Geigi2.png/revision/latest?cb=20210413014707"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265" Type="http://schemas.openxmlformats.org/officeDocument/2006/relationships/hyperlink" Target="https://static.wikia.nocookie.net/plantsvszombies/images/6/64/Dragonfruit2.png/revision/latest?cb=20180312024046" TargetMode="External"/><Relationship Id="rId286" Type="http://schemas.openxmlformats.org/officeDocument/2006/relationships/hyperlink" Target="https://static.wikia.nocookie.net/plantsvszombies/images/e/e5/Shadow_Vanilla2.png/revision/latest?cb=20210728071427" TargetMode="External"/><Relationship Id="rId50" Type="http://schemas.openxmlformats.org/officeDocument/2006/relationships/hyperlink" Target="https://static.wikia.nocookie.net/plantsvszombies/images/a/a5/Celery_Stalker2.png/revision/latest?cb=20150822202352" TargetMode="External"/><Relationship Id="rId104" Type="http://schemas.openxmlformats.org/officeDocument/2006/relationships/hyperlink" Target="https://static.wikia.nocookie.net/plantsvszombies/images/e/ef/Kiwibeast2.png/revision/latest?cb=20210121015624" TargetMode="External"/><Relationship Id="rId125" Type="http://schemas.openxmlformats.org/officeDocument/2006/relationships/hyperlink" Target="https://static.wikia.nocookie.net/plantsvszombies/images/0/07/Pyre_Vine2.png/revision/latest?cb=20190903223137" TargetMode="External"/><Relationship Id="rId146" Type="http://schemas.openxmlformats.org/officeDocument/2006/relationships/hyperlink" Target="https://static.wikia.nocookie.net/plantsvszombies/images/9/96/Solar_Sage2.png/revision/latest?cb=20210621230624" TargetMode="External"/><Relationship Id="rId167" Type="http://schemas.openxmlformats.org/officeDocument/2006/relationships/hyperlink" Target="https://static.wikia.nocookie.net/plantsvszombies/images/3/38/MayBee2.png/revision/latest?cb=20230314003517" TargetMode="External"/><Relationship Id="rId188" Type="http://schemas.openxmlformats.org/officeDocument/2006/relationships/hyperlink" Target="https://static.wikia.nocookie.net/plantsvszombies/images/d/d0/Hammeruit2.png/revision/latest/scale-to-width-down/70?cb=20250108203307" TargetMode="External"/><Relationship Id="rId311" Type="http://schemas.openxmlformats.org/officeDocument/2006/relationships/hyperlink" Target="https://static.wikia.nocookie.net/plantsvszombies/images/5/58/Oilseed-pult2.png/revision/latest?cb=20230926000742"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213" Type="http://schemas.openxmlformats.org/officeDocument/2006/relationships/hyperlink" Target="https://static.wikia.nocookie.net/plantsvszombies/images/2/2a/Rafflesia2.png/revision/latest?cb=20151031192058" TargetMode="External"/><Relationship Id="rId234" Type="http://schemas.openxmlformats.org/officeDocument/2006/relationships/hyperlink" Target="https://static.wikia.nocookie.net/plantsvszombies/images/d/db/Rose_Swordfighter2.png/revision/latest?cb=20200803061104"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55" Type="http://schemas.openxmlformats.org/officeDocument/2006/relationships/hyperlink" Target="https://static.wikia.nocookie.net/plantsvszombies/images/f/fa/Chestnut_Squad2.png/revision/latest?cb=20170210131218" TargetMode="External"/><Relationship Id="rId276" Type="http://schemas.openxmlformats.org/officeDocument/2006/relationships/hyperlink" Target="https://static.wikia.nocookie.net/plantsvszombies/images/7/73/Banana_Dancer2.png/revision/latest?cb=20200519051649" TargetMode="External"/><Relationship Id="rId297" Type="http://schemas.openxmlformats.org/officeDocument/2006/relationships/hyperlink" Target="https://static.wikia.nocookie.net/plantsvszombies/images/6/63/Byttneria_Meteor_Hammer2.png/revision/latest?cb=20221001234422" TargetMode="External"/><Relationship Id="rId40" Type="http://schemas.openxmlformats.org/officeDocument/2006/relationships/hyperlink" Target="https://static.wikia.nocookie.net/plantsvszombies/images/5/5d/E.M.Peach2.png/revision/latest?cb=20150519210717" TargetMode="External"/><Relationship Id="rId115" Type="http://schemas.openxmlformats.org/officeDocument/2006/relationships/hyperlink" Target="https://static.wikia.nocookie.net/plantsvszombies/images/3/3f/Goo_Peashooter2.png/revision/latest?cb=20200803162920" TargetMode="External"/><Relationship Id="rId136" Type="http://schemas.openxmlformats.org/officeDocument/2006/relationships/hyperlink" Target="https://static.wikia.nocookie.net/plantsvszombies/images/0/02/Turkey-pult2.png/revision/latest?cb=20200915155128" TargetMode="External"/><Relationship Id="rId157" Type="http://schemas.openxmlformats.org/officeDocument/2006/relationships/hyperlink" Target="https://static.wikia.nocookie.net/plantsvszombies/images/1/17/Mega_Gatling_Pea2.png/revision/latest?cb=20220907040154" TargetMode="External"/><Relationship Id="rId178" Type="http://schemas.openxmlformats.org/officeDocument/2006/relationships/hyperlink" Target="https://static.wikia.nocookie.net/plantsvszombies/images/d/dd/Sea-shroom2.png/revision/latest?cb=20240506102548" TargetMode="External"/><Relationship Id="rId301" Type="http://schemas.openxmlformats.org/officeDocument/2006/relationships/hyperlink" Target="https://static.wikia.nocookie.net/plantsvszombies/images/e/e9/Pea_Pharmacist2.png/revision/latest?cb=20230129074812" TargetMode="External"/><Relationship Id="rId322" Type="http://schemas.openxmlformats.org/officeDocument/2006/relationships/hyperlink" Target="https://static.wikia.nocookie.net/plantsvszombies/images/2/2d/Lunisolar_Honeysuckle2.png/revision/latest?cb=20241028203916"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99" Type="http://schemas.openxmlformats.org/officeDocument/2006/relationships/hyperlink" Target="https://static.wikia.nocookie.net/plantsvszombies/images/1/1e/Sweet_PeaA.png/revision/latest?cb=20130718044149" TargetMode="External"/><Relationship Id="rId203" Type="http://schemas.openxmlformats.org/officeDocument/2006/relationships/hyperlink" Target="https://static.wikia.nocookie.net/plantsvszombies/images/7/7e/Silversword3.png/revision/latest/scale-to-width-down/48?cb=20220406055054" TargetMode="External"/><Relationship Id="rId19" Type="http://schemas.openxmlformats.org/officeDocument/2006/relationships/hyperlink" Target="https://static.wikia.nocookie.net/plantsvszombies/images/9/93/Cherry_Bomb2.png/revision/latest?cb=20221206063300" TargetMode="External"/><Relationship Id="rId224" Type="http://schemas.openxmlformats.org/officeDocument/2006/relationships/hyperlink" Target="https://static.wikia.nocookie.net/plantsvszombies/images/a/ad/Primal_Rafflesia2.png/revision/latest?cb=20221220085823" TargetMode="External"/><Relationship Id="rId245" Type="http://schemas.openxmlformats.org/officeDocument/2006/relationships/hyperlink" Target="https://static.wikia.nocookie.net/plantsvszombies/images/1/18/Hat_Mushroom2.png/revision/latest?cb=20220729021042" TargetMode="External"/><Relationship Id="rId266" Type="http://schemas.openxmlformats.org/officeDocument/2006/relationships/hyperlink" Target="https://static.wikia.nocookie.net/plantsvszombies/images/5/52/Angel_Starfruit2.png/revision/latest?cb=20190321155238" TargetMode="External"/><Relationship Id="rId287" Type="http://schemas.openxmlformats.org/officeDocument/2006/relationships/hyperlink" Target="https://static.wikia.nocookie.net/plantsvszombies/images/4/47/Splendens_Blade2.png/revision/latest?cb=20201212160706" TargetMode="External"/><Relationship Id="rId30" Type="http://schemas.openxmlformats.org/officeDocument/2006/relationships/hyperlink" Target="https://static.wikia.nocookie.net/plantsvszombies/images/a/ae/Stunion2.png/revision/latest?cb=202302190601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9/95/Power_Vine2.png/revision/latest?cb=20210803233254" TargetMode="External"/><Relationship Id="rId168" Type="http://schemas.openxmlformats.org/officeDocument/2006/relationships/hyperlink" Target="https://static.wikia.nocookie.net/plantsvszombies/images/1/13/Scaredy-shroom2.png/revision/latest?cb=20230415232226" TargetMode="External"/><Relationship Id="rId312" Type="http://schemas.openxmlformats.org/officeDocument/2006/relationships/hyperlink" Target="https://static.wikia.nocookie.net/plantsvszombies/images/d/d8/Leaf-Blade_Dracaena2.png/revision/latest?cb=20231115171036"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189" Type="http://schemas.openxmlformats.org/officeDocument/2006/relationships/hyperlink" Target="https://static.wikia.nocookie.net/plantsvszombies/images/1/1d/Umbrella_Leaf3.png/revision/latest/scale-to-width-down/48?cb=20240620034801" TargetMode="External"/><Relationship Id="rId3" Type="http://schemas.openxmlformats.org/officeDocument/2006/relationships/hyperlink" Target="https://static.wikia.nocookie.net/plantsvszombies/images/1/17/Wall-nut2.png/revision/latest?cb=20221126065345" TargetMode="External"/><Relationship Id="rId214" Type="http://schemas.openxmlformats.org/officeDocument/2006/relationships/hyperlink" Target="https://static.wikia.nocookie.net/plantsvszombies/images/2/20/Whirlwind_Acorn2.png/revision/latest?cb=20160818132726" TargetMode="External"/><Relationship Id="rId235" Type="http://schemas.openxmlformats.org/officeDocument/2006/relationships/hyperlink" Target="https://static.wikia.nocookie.net/plantsvszombies/images/5/52/Bearberry_Mortar2.png/revision/latest?cb=20190926013605" TargetMode="External"/><Relationship Id="rId256" Type="http://schemas.openxmlformats.org/officeDocument/2006/relationships/hyperlink" Target="https://static.wikia.nocookie.net/plantsvszombies/images/c/c8/Bamboo_Bro2.png/revision/latest?cb=20210513062720" TargetMode="External"/><Relationship Id="rId277" Type="http://schemas.openxmlformats.org/officeDocument/2006/relationships/hyperlink" Target="https://static.wikia.nocookie.net/plantsvszombies/images/5/5b/Dual_Pistol_Pinecone2.png/revision/latest?cb=20221216013432" TargetMode="External"/><Relationship Id="rId298" Type="http://schemas.openxmlformats.org/officeDocument/2006/relationships/hyperlink" Target="https://static.wikia.nocookie.net/plantsvszombies/images/a/a7/Laser_Crown_Flower2.png/revision/latest?cb=20221001055728"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2/2d/Headbutter_Lettuce2.png/revision/latest?cb=20201030054125" TargetMode="External"/><Relationship Id="rId158" Type="http://schemas.openxmlformats.org/officeDocument/2006/relationships/hyperlink" Target="https://static.wikia.nocookie.net/plantsvszombies/images/1/1a/Levitater2.png/revision/latest?cb=20220614050517" TargetMode="External"/><Relationship Id="rId302" Type="http://schemas.openxmlformats.org/officeDocument/2006/relationships/hyperlink" Target="https://static.wikia.nocookie.net/plantsvszombies/images/b/b1/Pike_Hoya2.png/revision/latest?cb=20230129074720" TargetMode="External"/><Relationship Id="rId323" Type="http://schemas.openxmlformats.org/officeDocument/2006/relationships/hyperlink" Target="https://static.wikia.nocookie.net/plantsvszombies/images/9/99/Frost_Rambutan2.png/revision/latest?cb=20241113015534"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179" Type="http://schemas.openxmlformats.org/officeDocument/2006/relationships/hyperlink" Target="https://static.wikia.nocookie.net/plantsvszombies/images/5/55/Guard-shroom2.png/revision/latest?cb=20240227153646" TargetMode="External"/><Relationship Id="rId190" Type="http://schemas.openxmlformats.org/officeDocument/2006/relationships/hyperlink" Target="https://static.wikia.nocookie.net/plantsvszombies/images/7/73/Marigold2.png/revision/latest?cb=20151230034649" TargetMode="External"/><Relationship Id="rId204" Type="http://schemas.openxmlformats.org/officeDocument/2006/relationships/hyperlink" Target="https://static.wikia.nocookie.net/plantsvszombies/images/7/72/Resistant_Radish2.png/revision/latest?cb=20150805183002" TargetMode="External"/><Relationship Id="rId225" Type="http://schemas.openxmlformats.org/officeDocument/2006/relationships/hyperlink" Target="https://static.wikia.nocookie.net/plantsvszombies/images/a/ad/Dino-Roar_Grass2.png/revision/latest?cb=20190705052324" TargetMode="External"/><Relationship Id="rId246" Type="http://schemas.openxmlformats.org/officeDocument/2006/relationships/hyperlink" Target="https://static.wikia.nocookie.net/plantsvszombies/images/7/7a/Ents2.png/revision/latest?cb=20220729021122" TargetMode="External"/><Relationship Id="rId267" Type="http://schemas.openxmlformats.org/officeDocument/2006/relationships/hyperlink" Target="https://static.wikia.nocookie.net/plantsvszombies/images/2/2c/Gatling_Pea2.png/revision/latest?cb=20220323010447" TargetMode="External"/><Relationship Id="rId288" Type="http://schemas.openxmlformats.org/officeDocument/2006/relationships/hyperlink" Target="https://static.wikia.nocookie.net/plantsvszombies/images/6/6a/Earthstar_Nuclear_Silo2.png/revision/latest?cb=20210526043408"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313" Type="http://schemas.openxmlformats.org/officeDocument/2006/relationships/hyperlink" Target="https://static.wikia.nocookie.net/plantsvszombies/images/6/62/Sunshine_Leek2.png/revision/latest?cb=20231228004246"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94" Type="http://schemas.openxmlformats.org/officeDocument/2006/relationships/hyperlink" Target="https://static.wikia.nocookie.net/plantsvszombies/images/0/0f/Pea-nut2.png/revision/latest?cb=20150822204951" TargetMode="External"/><Relationship Id="rId148" Type="http://schemas.openxmlformats.org/officeDocument/2006/relationships/hyperlink" Target="https://static.wikia.nocookie.net/plantsvszombies/images/a/af/Noctarine2.png/revision/latest?cb=20210717084648" TargetMode="External"/><Relationship Id="rId169" Type="http://schemas.openxmlformats.org/officeDocument/2006/relationships/hyperlink" Target="https://static.wikia.nocookie.net/plantsvszombies/images/0/0e/Bamboo_Spartan2.png/revision/latest?cb=20230419024648" TargetMode="External"/><Relationship Id="rId4" Type="http://schemas.openxmlformats.org/officeDocument/2006/relationships/hyperlink" Target="https://static.wikia.nocookie.net/plantsvszombies/images/a/a0/Potato_Mine2.png/revision/latest?cb=20221126065516" TargetMode="External"/><Relationship Id="rId180" Type="http://schemas.openxmlformats.org/officeDocument/2006/relationships/hyperlink" Target="https://static.wikia.nocookie.net/plantsvszombies/images/4/47/Aqua_Vine2.png/revision/latest?cb=20240316065724" TargetMode="External"/><Relationship Id="rId215" Type="http://schemas.openxmlformats.org/officeDocument/2006/relationships/hyperlink" Target="https://static.wikia.nocookie.net/plantsvszombies/images/9/98/Loquat2.png/revision/latest?cb=20221226045117" TargetMode="External"/><Relationship Id="rId236" Type="http://schemas.openxmlformats.org/officeDocument/2006/relationships/hyperlink" Target="https://static.wikia.nocookie.net/plantsvszombies/images/c/c9/Wax_Gourd_Guard2.png/revision/latest?cb=20190926013735" TargetMode="External"/><Relationship Id="rId257" Type="http://schemas.openxmlformats.org/officeDocument/2006/relationships/hyperlink" Target="https://static.wikia.nocookie.net/plantsvszombies/images/0/0f/Magic-shroom2.png/revision/latest?cb=20190714144506" TargetMode="External"/><Relationship Id="rId278" Type="http://schemas.openxmlformats.org/officeDocument/2006/relationships/hyperlink" Target="https://static.wikia.nocookie.net/plantsvszombies/images/a/a0/Narcissus_Shooter2.png/revision/latest?cb=20181202123451" TargetMode="External"/><Relationship Id="rId303" Type="http://schemas.openxmlformats.org/officeDocument/2006/relationships/hyperlink" Target="https://static.wikia.nocookie.net/plantsvszombies/images/e/e0/Burdock_Batter2.png/revision/latest?cb=20230309021850" TargetMode="External"/><Relationship Id="rId42" Type="http://schemas.openxmlformats.org/officeDocument/2006/relationships/hyperlink" Target="https://static.wikia.nocookie.net/plantsvszombies/images/2/27/Magnifying_Grass2.png/revision/latest?cb=2018123019084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3/36/Boingsetta2.png/revision/latest?cb=20201030053226" TargetMode="External"/><Relationship Id="rId191" Type="http://schemas.openxmlformats.org/officeDocument/2006/relationships/hyperlink" Target="https://static.wikia.nocookie.net/plantsvszombies/images/1/18/Gold_Magnet1.png/revision/latest?cb=20170630021728" TargetMode="External"/><Relationship Id="rId205" Type="http://schemas.openxmlformats.org/officeDocument/2006/relationships/hyperlink" Target="https://static.wikia.nocookie.net/plantsvszombies/images/6/6e/Fire_Gourd2.png/revision/latest?cb=20230918030431" TargetMode="External"/><Relationship Id="rId247" Type="http://schemas.openxmlformats.org/officeDocument/2006/relationships/hyperlink" Target="https://static.wikia.nocookie.net/plantsvszombies/images/8/85/Princess_Spring_Grass2.png/revision/latest?cb=20220729021016" TargetMode="External"/><Relationship Id="rId107" Type="http://schemas.openxmlformats.org/officeDocument/2006/relationships/hyperlink" Target="https://static.wikia.nocookie.net/plantsvszombies/images/3/3c/Dandelion2.png/revision/latest?cb=20150822203823" TargetMode="External"/><Relationship Id="rId289" Type="http://schemas.openxmlformats.org/officeDocument/2006/relationships/hyperlink" Target="https://static.wikia.nocookie.net/plantsvszombies/images/b/bb/Celebration_Soda_Palm2.png/revision/latest?cb=20210816072216" TargetMode="External"/><Relationship Id="rId11" Type="http://schemas.openxmlformats.org/officeDocument/2006/relationships/hyperlink" Target="https://static.wikia.nocookie.net/plantsvszombies/images/1/1e/Twin_Sunflower2.png/revision/latest?cb=20221126071524" TargetMode="External"/><Relationship Id="rId53" Type="http://schemas.openxmlformats.org/officeDocument/2006/relationships/hyperlink" Target="https://static.wikia.nocookie.net/plantsvszombies/images/d/d6/Spore-shroom2.png/revision/latest?cb=20180304014203" TargetMode="External"/><Relationship Id="rId149" Type="http://schemas.openxmlformats.org/officeDocument/2006/relationships/hyperlink" Target="https://static.wikia.nocookie.net/plantsvszombies/images/4/49/Heath_Seeker2.png/revision/latest?cb=20210916015504" TargetMode="External"/><Relationship Id="rId314" Type="http://schemas.openxmlformats.org/officeDocument/2006/relationships/hyperlink" Target="https://static.wikia.nocookie.net/plantsvszombies/images/f/f1/Gluttonous_Snapdragon2.png/revision/latest?cb=20240202052734"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2/28/Vamporcini2.png/revision/latest?cb=20220916012705" TargetMode="External"/><Relationship Id="rId216" Type="http://schemas.openxmlformats.org/officeDocument/2006/relationships/hyperlink" Target="https://static.wikia.nocookie.net/plantsvszombies/images/c/cf/Asparagus2.png/revision/latest?cb=20221225063419" TargetMode="External"/><Relationship Id="rId258" Type="http://schemas.openxmlformats.org/officeDocument/2006/relationships/hyperlink" Target="https://static.wikia.nocookie.net/plantsvszombies/images/e/e5/Mischief_Radish2.png/revision/latest?cb=20230111005136" TargetMode="External"/><Relationship Id="rId22" Type="http://schemas.openxmlformats.org/officeDocument/2006/relationships/hyperlink" Target="https://static.wikia.nocookie.net/plantsvszombies/images/1/13/Pea_Pod2.png/revision/latest?cb=20141116195736"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171" Type="http://schemas.openxmlformats.org/officeDocument/2006/relationships/hyperlink" Target="https://static.wikia.nocookie.net/plantsvszombies/images/e/e9/Bean_Sprout2.png/revision/latest?cb=20230826230227" TargetMode="External"/><Relationship Id="rId227" Type="http://schemas.openxmlformats.org/officeDocument/2006/relationships/hyperlink" Target="https://static.wikia.nocookie.net/plantsvszombies/images/2/22/Sugarcane_Master2.png/revision/latest?cb=20221220085223" TargetMode="External"/><Relationship Id="rId269" Type="http://schemas.openxmlformats.org/officeDocument/2006/relationships/hyperlink" Target="https://static.wikia.nocookie.net/plantsvszombies/images/f/f8/Flame_Flower_Queen2.png/revision/latest?cb=20221208001810" TargetMode="External"/><Relationship Id="rId33" Type="http://schemas.openxmlformats.org/officeDocument/2006/relationships/hyperlink" Target="https://static.wikia.nocookie.net/plantsvszombies/images/7/7f/A.K.E.E.2.png/revision/latest?cb=20160902061921" TargetMode="External"/><Relationship Id="rId129" Type="http://schemas.openxmlformats.org/officeDocument/2006/relationships/hyperlink" Target="https://static.wikia.nocookie.net/plantsvszombies/images/9/9a/Gumnut2.png/revision/latest?cb=20200318003556" TargetMode="External"/><Relationship Id="rId280" Type="http://schemas.openxmlformats.org/officeDocument/2006/relationships/hyperlink" Target="https://static.wikia.nocookie.net/plantsvszombies/images/c/c8/Crystal_Orchid2.png/revision/latest?cb=20230222040307" TargetMode="External"/><Relationship Id="rId75" Type="http://schemas.openxmlformats.org/officeDocument/2006/relationships/hyperlink" Target="https://static.wikia.nocookie.net/plantsvszombies/images/3/30/Strawburst2.png/revision/latest?cb=20161026010927" TargetMode="External"/><Relationship Id="rId140" Type="http://schemas.openxmlformats.org/officeDocument/2006/relationships/hyperlink" Target="https://static.wikia.nocookie.net/plantsvszombies/images/b/bd/Hocus_Crocus2.png/revision/latest?cb=20210205223344" TargetMode="External"/><Relationship Id="rId182" Type="http://schemas.openxmlformats.org/officeDocument/2006/relationships/hyperlink" Target="https://static.wikia.nocookie.net/plantsvszombies/images/2/21/Blast_Spinner2.png/revision/latest?cb=20240825171337" TargetMode="External"/><Relationship Id="rId6" Type="http://schemas.openxmlformats.org/officeDocument/2006/relationships/hyperlink" Target="https://static.wikia.nocookie.net/plantsvszombies/images/5/57/Bloomerang2.png/revision/latest?cb=20221126070057" TargetMode="External"/><Relationship Id="rId238" Type="http://schemas.openxmlformats.org/officeDocument/2006/relationships/hyperlink" Target="https://static.wikia.nocookie.net/plantsvszombies/images/e/ee/Jeweler_Pomegranate2.png/revision/latest?cb=20191215184623" TargetMode="External"/><Relationship Id="rId291" Type="http://schemas.openxmlformats.org/officeDocument/2006/relationships/hyperlink" Target="https://static.wikia.nocookie.net/plantsvszombies/images/5/59/Tiger_Claw2.png/revision/latest?cb=20211018033803" TargetMode="External"/><Relationship Id="rId305" Type="http://schemas.openxmlformats.org/officeDocument/2006/relationships/hyperlink" Target="https://static.wikia.nocookie.net/plantsvszombies/images/c/ce/Cranesbill_Fencer2.png/revision/latest?cb=20230430190734" TargetMode="External"/><Relationship Id="rId44" Type="http://schemas.openxmlformats.org/officeDocument/2006/relationships/hyperlink" Target="https://static.wikia.nocookie.net/plantsvszombies/images/e/e0/Sun-shroom2.png/revision/latest?cb=20190221195748" TargetMode="External"/><Relationship Id="rId86" Type="http://schemas.openxmlformats.org/officeDocument/2006/relationships/hyperlink" Target="https://static.wikia.nocookie.net/plantsvszombies/images/5/5f/Parsnip2.png/revision/latest?cb=20220316060035" TargetMode="External"/><Relationship Id="rId151" Type="http://schemas.openxmlformats.org/officeDocument/2006/relationships/hyperlink" Target="https://static.wikia.nocookie.net/plantsvszombies/images/6/6f/Tiger_Grass2.png/revision/latest?cb=20211212021638" TargetMode="External"/><Relationship Id="rId193" Type="http://schemas.openxmlformats.org/officeDocument/2006/relationships/hyperlink" Target="https://static.wikia.nocookie.net/plantsvszombies/images/0/02/PopcornA.png/revision/latest?cb=20130809003435" TargetMode="External"/><Relationship Id="rId207" Type="http://schemas.openxmlformats.org/officeDocument/2006/relationships/hyperlink" Target="https://static.wikia.nocookie.net/plantsvszombies/images/2/2c/Bamboo_Shoot2.png/revision/latest?cb=20230331050619" TargetMode="External"/><Relationship Id="rId249" Type="http://schemas.openxmlformats.org/officeDocument/2006/relationships/hyperlink" Target="https://static.wikia.nocookie.net/plantsvszombies/images/a/a1/Pyro-shroom2.png/revision/latest?cb=20230226070859" TargetMode="External"/><Relationship Id="rId13" Type="http://schemas.openxmlformats.org/officeDocument/2006/relationships/hyperlink" Target="https://static.wikia.nocookie.net/plantsvszombies/images/f/f8/Snapdragon2.png/revision/latest?cb=20221126072250" TargetMode="External"/><Relationship Id="rId109" Type="http://schemas.openxmlformats.org/officeDocument/2006/relationships/hyperlink" Target="https://static.wikia.nocookie.net/plantsvszombies/images/4/42/Explode-O-Nut2.png/revision/latest?cb=20160617175238" TargetMode="External"/><Relationship Id="rId260" Type="http://schemas.openxmlformats.org/officeDocument/2006/relationships/hyperlink" Target="https://static.wikia.nocookie.net/plantsvszombies/images/6/6c/Sunflower_Singer2.png/revision/latest?cb=20221208003802" TargetMode="External"/><Relationship Id="rId316" Type="http://schemas.openxmlformats.org/officeDocument/2006/relationships/hyperlink" Target="https://static.wikia.nocookie.net/plantsvszombies/images/d/db/Thorn_Wizard2.png/revision/latest?cb=202404230728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89"/>
  <sheetViews>
    <sheetView workbookViewId="0">
      <pane ySplit="1" topLeftCell="A2" activePane="bottomLeft" state="frozen"/>
      <selection pane="bottomLeft" activeCell="C15" sqref="C15"/>
    </sheetView>
  </sheetViews>
  <sheetFormatPr defaultColWidth="12.5703125" defaultRowHeight="15.75" customHeight="1" x14ac:dyDescent="0.2"/>
  <cols>
    <col min="1" max="1" width="10.42578125" customWidth="1"/>
    <col min="2" max="4" width="14.85546875" customWidth="1"/>
    <col min="5" max="5" width="36.42578125" customWidth="1"/>
    <col min="6" max="8" width="13.7109375" customWidth="1"/>
    <col min="9" max="9" width="13.7109375" style="92" customWidth="1"/>
    <col min="10" max="12" width="31.42578125" customWidth="1"/>
    <col min="13" max="14" width="11.5703125" customWidth="1"/>
    <col min="15" max="15" width="13.7109375" customWidth="1"/>
    <col min="16" max="16" width="14.7109375" customWidth="1"/>
    <col min="17" max="17" width="12.42578125" customWidth="1"/>
    <col min="18" max="18" width="17.85546875" customWidth="1"/>
    <col min="19" max="19" width="14.42578125" customWidth="1"/>
    <col min="20" max="20" width="10.5703125" customWidth="1"/>
    <col min="21" max="22" width="11.5703125" customWidth="1"/>
    <col min="23" max="23" width="16" customWidth="1"/>
    <col min="24" max="25" width="18.42578125" customWidth="1"/>
  </cols>
  <sheetData>
    <row r="1" spans="1:25"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5" t="s">
        <v>24</v>
      </c>
    </row>
    <row r="2" spans="1:25" x14ac:dyDescent="0.2">
      <c r="A2" s="6">
        <v>1</v>
      </c>
      <c r="B2" s="7" t="s">
        <v>25</v>
      </c>
      <c r="C2" s="7" t="s">
        <v>26</v>
      </c>
      <c r="D2" s="8" t="s">
        <v>27</v>
      </c>
      <c r="E2" s="7" t="s">
        <v>28</v>
      </c>
      <c r="F2" s="7">
        <v>100</v>
      </c>
      <c r="G2" s="7">
        <v>300</v>
      </c>
      <c r="H2" s="7">
        <v>20</v>
      </c>
      <c r="I2" s="86">
        <v>5</v>
      </c>
      <c r="J2" s="7" t="s">
        <v>29</v>
      </c>
      <c r="K2" s="7"/>
      <c r="L2" s="7"/>
      <c r="M2" s="9" t="b">
        <v>0</v>
      </c>
      <c r="N2" s="9" t="b">
        <v>0</v>
      </c>
      <c r="O2" s="7">
        <v>0</v>
      </c>
      <c r="P2" s="7" t="s">
        <v>30</v>
      </c>
      <c r="Q2" s="7"/>
      <c r="R2" s="8" t="s">
        <v>31</v>
      </c>
      <c r="S2" s="8" t="s">
        <v>32</v>
      </c>
      <c r="T2" s="7" t="s">
        <v>33</v>
      </c>
      <c r="U2" s="7" t="s">
        <v>33</v>
      </c>
      <c r="V2" s="7" t="s">
        <v>34</v>
      </c>
      <c r="W2" s="7" t="s">
        <v>35</v>
      </c>
      <c r="X2" s="7" t="s">
        <v>36</v>
      </c>
      <c r="Y2" s="10" t="s">
        <v>37</v>
      </c>
    </row>
    <row r="3" spans="1:25" x14ac:dyDescent="0.2">
      <c r="A3" s="11">
        <v>2</v>
      </c>
      <c r="B3" s="12" t="s">
        <v>38</v>
      </c>
      <c r="C3" s="12" t="s">
        <v>39</v>
      </c>
      <c r="D3" s="13" t="s">
        <v>40</v>
      </c>
      <c r="E3" s="12" t="s">
        <v>41</v>
      </c>
      <c r="F3" s="12">
        <v>50</v>
      </c>
      <c r="G3" s="12">
        <v>300</v>
      </c>
      <c r="H3" s="12">
        <v>0</v>
      </c>
      <c r="I3" s="87">
        <v>5</v>
      </c>
      <c r="J3" s="12" t="s">
        <v>42</v>
      </c>
      <c r="K3" s="12"/>
      <c r="L3" s="12"/>
      <c r="M3" s="14" t="b">
        <v>0</v>
      </c>
      <c r="N3" s="14" t="b">
        <v>0</v>
      </c>
      <c r="O3" s="12">
        <v>50</v>
      </c>
      <c r="P3" s="12" t="s">
        <v>30</v>
      </c>
      <c r="Q3" s="12"/>
      <c r="R3" s="13" t="s">
        <v>43</v>
      </c>
      <c r="S3" s="13" t="s">
        <v>32</v>
      </c>
      <c r="T3" s="12" t="s">
        <v>33</v>
      </c>
      <c r="U3" s="12" t="s">
        <v>33</v>
      </c>
      <c r="V3" s="12" t="s">
        <v>44</v>
      </c>
      <c r="W3" s="12" t="s">
        <v>45</v>
      </c>
      <c r="X3" s="12" t="s">
        <v>36</v>
      </c>
      <c r="Y3" s="15" t="s">
        <v>46</v>
      </c>
    </row>
    <row r="4" spans="1:25" x14ac:dyDescent="0.2">
      <c r="A4" s="6">
        <v>3</v>
      </c>
      <c r="B4" s="7" t="s">
        <v>47</v>
      </c>
      <c r="C4" s="7" t="s">
        <v>48</v>
      </c>
      <c r="D4" s="8" t="s">
        <v>49</v>
      </c>
      <c r="E4" s="7" t="s">
        <v>50</v>
      </c>
      <c r="F4" s="7">
        <v>50</v>
      </c>
      <c r="G4" s="7">
        <v>4000</v>
      </c>
      <c r="H4" s="7">
        <v>0</v>
      </c>
      <c r="I4" s="86">
        <v>20</v>
      </c>
      <c r="J4" s="7" t="s">
        <v>51</v>
      </c>
      <c r="K4" s="7"/>
      <c r="L4" s="7"/>
      <c r="M4" s="9" t="b">
        <v>0</v>
      </c>
      <c r="N4" s="9" t="b">
        <v>0</v>
      </c>
      <c r="O4" s="7">
        <v>0</v>
      </c>
      <c r="P4" s="7" t="s">
        <v>30</v>
      </c>
      <c r="Q4" s="7"/>
      <c r="R4" s="8" t="s">
        <v>52</v>
      </c>
      <c r="S4" s="8" t="s">
        <v>32</v>
      </c>
      <c r="T4" s="7" t="s">
        <v>33</v>
      </c>
      <c r="U4" s="7" t="s">
        <v>33</v>
      </c>
      <c r="V4" s="7" t="s">
        <v>53</v>
      </c>
      <c r="W4" s="7" t="s">
        <v>54</v>
      </c>
      <c r="X4" s="7" t="s">
        <v>55</v>
      </c>
      <c r="Y4" s="16" t="s">
        <v>56</v>
      </c>
    </row>
    <row r="5" spans="1:25" x14ac:dyDescent="0.2">
      <c r="A5" s="11">
        <v>4</v>
      </c>
      <c r="B5" s="12" t="s">
        <v>57</v>
      </c>
      <c r="C5" s="12" t="s">
        <v>58</v>
      </c>
      <c r="D5" s="13" t="s">
        <v>59</v>
      </c>
      <c r="E5" s="12" t="s">
        <v>60</v>
      </c>
      <c r="F5" s="12">
        <v>25</v>
      </c>
      <c r="G5" s="12">
        <v>300</v>
      </c>
      <c r="H5" s="12">
        <v>1800</v>
      </c>
      <c r="I5" s="87">
        <v>20</v>
      </c>
      <c r="J5" s="12" t="s">
        <v>61</v>
      </c>
      <c r="K5" s="12"/>
      <c r="L5" s="12"/>
      <c r="M5" s="14" t="b">
        <v>1</v>
      </c>
      <c r="N5" s="14" t="b">
        <v>0</v>
      </c>
      <c r="O5" s="12">
        <v>0</v>
      </c>
      <c r="P5" s="12" t="s">
        <v>30</v>
      </c>
      <c r="Q5" s="12"/>
      <c r="R5" s="13" t="s">
        <v>62</v>
      </c>
      <c r="S5" s="13" t="s">
        <v>32</v>
      </c>
      <c r="T5" s="12" t="s">
        <v>33</v>
      </c>
      <c r="U5" s="12" t="s">
        <v>33</v>
      </c>
      <c r="V5" s="12" t="s">
        <v>63</v>
      </c>
      <c r="W5" s="12" t="s">
        <v>11</v>
      </c>
      <c r="X5" s="12" t="s">
        <v>64</v>
      </c>
      <c r="Y5" s="15" t="s">
        <v>65</v>
      </c>
    </row>
    <row r="6" spans="1:25" x14ac:dyDescent="0.2">
      <c r="A6" s="6">
        <v>5</v>
      </c>
      <c r="B6" s="7" t="s">
        <v>66</v>
      </c>
      <c r="C6" s="7" t="s">
        <v>67</v>
      </c>
      <c r="D6" s="8" t="s">
        <v>68</v>
      </c>
      <c r="E6" s="7" t="s">
        <v>69</v>
      </c>
      <c r="F6" s="7">
        <v>100</v>
      </c>
      <c r="G6" s="7">
        <v>300</v>
      </c>
      <c r="H6" s="7">
        <v>40</v>
      </c>
      <c r="I6" s="86">
        <v>5</v>
      </c>
      <c r="J6" s="7" t="s">
        <v>70</v>
      </c>
      <c r="K6" s="7"/>
      <c r="L6" s="7"/>
      <c r="M6" s="9" t="b">
        <v>0</v>
      </c>
      <c r="N6" s="9" t="b">
        <v>0</v>
      </c>
      <c r="O6" s="7">
        <v>0</v>
      </c>
      <c r="P6" s="7" t="s">
        <v>30</v>
      </c>
      <c r="Q6" s="7" t="s">
        <v>71</v>
      </c>
      <c r="R6" s="8" t="s">
        <v>72</v>
      </c>
      <c r="S6" s="8" t="s">
        <v>32</v>
      </c>
      <c r="T6" s="7" t="s">
        <v>33</v>
      </c>
      <c r="U6" s="7" t="s">
        <v>33</v>
      </c>
      <c r="V6" s="7" t="s">
        <v>73</v>
      </c>
      <c r="W6" s="7" t="s">
        <v>35</v>
      </c>
      <c r="X6" s="7" t="s">
        <v>74</v>
      </c>
      <c r="Y6" s="16" t="s">
        <v>75</v>
      </c>
    </row>
    <row r="7" spans="1:25" x14ac:dyDescent="0.2">
      <c r="A7" s="11">
        <v>6</v>
      </c>
      <c r="B7" s="12" t="s">
        <v>76</v>
      </c>
      <c r="C7" s="12" t="s">
        <v>77</v>
      </c>
      <c r="D7" s="13" t="s">
        <v>78</v>
      </c>
      <c r="E7" s="12" t="s">
        <v>79</v>
      </c>
      <c r="F7" s="12">
        <v>175</v>
      </c>
      <c r="G7" s="12">
        <v>300</v>
      </c>
      <c r="H7" s="12">
        <v>20</v>
      </c>
      <c r="I7" s="87">
        <v>5</v>
      </c>
      <c r="J7" s="12" t="s">
        <v>80</v>
      </c>
      <c r="K7" s="12"/>
      <c r="L7" s="12"/>
      <c r="M7" s="14" t="b">
        <v>0</v>
      </c>
      <c r="N7" s="14" t="b">
        <v>0</v>
      </c>
      <c r="O7" s="12">
        <v>0</v>
      </c>
      <c r="P7" s="12" t="s">
        <v>30</v>
      </c>
      <c r="Q7" s="12"/>
      <c r="R7" s="13" t="s">
        <v>43</v>
      </c>
      <c r="S7" s="13" t="s">
        <v>32</v>
      </c>
      <c r="T7" s="12" t="s">
        <v>33</v>
      </c>
      <c r="U7" s="12" t="s">
        <v>33</v>
      </c>
      <c r="V7" s="12" t="s">
        <v>81</v>
      </c>
      <c r="W7" s="12" t="s">
        <v>35</v>
      </c>
      <c r="X7" s="12" t="s">
        <v>82</v>
      </c>
      <c r="Y7" s="17" t="s">
        <v>83</v>
      </c>
    </row>
    <row r="8" spans="1:25" x14ac:dyDescent="0.2">
      <c r="A8" s="6">
        <v>7</v>
      </c>
      <c r="B8" s="7" t="s">
        <v>84</v>
      </c>
      <c r="C8" s="7" t="s">
        <v>85</v>
      </c>
      <c r="D8" s="8" t="s">
        <v>86</v>
      </c>
      <c r="E8" s="7" t="s">
        <v>87</v>
      </c>
      <c r="F8" s="7">
        <v>0</v>
      </c>
      <c r="G8" s="7">
        <v>1</v>
      </c>
      <c r="H8" s="7">
        <v>0</v>
      </c>
      <c r="I8" s="86">
        <v>20</v>
      </c>
      <c r="J8" s="7" t="s">
        <v>88</v>
      </c>
      <c r="K8" s="7"/>
      <c r="L8" s="7" t="s">
        <v>89</v>
      </c>
      <c r="M8" s="9" t="b">
        <v>1</v>
      </c>
      <c r="N8" s="9" t="b">
        <v>0</v>
      </c>
      <c r="O8" s="7">
        <v>0</v>
      </c>
      <c r="P8" s="7" t="s">
        <v>30</v>
      </c>
      <c r="Q8" s="7" t="s">
        <v>90</v>
      </c>
      <c r="R8" s="8" t="s">
        <v>72</v>
      </c>
      <c r="S8" s="8" t="s">
        <v>32</v>
      </c>
      <c r="T8" s="7" t="s">
        <v>33</v>
      </c>
      <c r="U8" s="7" t="s">
        <v>33</v>
      </c>
      <c r="V8" s="7" t="s">
        <v>91</v>
      </c>
      <c r="W8" s="7" t="s">
        <v>11</v>
      </c>
      <c r="X8" s="7" t="s">
        <v>82</v>
      </c>
      <c r="Y8" s="18" t="s">
        <v>92</v>
      </c>
    </row>
    <row r="9" spans="1:25" x14ac:dyDescent="0.2">
      <c r="A9" s="11">
        <v>8</v>
      </c>
      <c r="B9" s="12" t="s">
        <v>93</v>
      </c>
      <c r="C9" s="12" t="s">
        <v>94</v>
      </c>
      <c r="D9" s="13" t="s">
        <v>95</v>
      </c>
      <c r="E9" s="12" t="s">
        <v>96</v>
      </c>
      <c r="F9" s="12">
        <v>0</v>
      </c>
      <c r="G9" s="12">
        <v>300</v>
      </c>
      <c r="H9" s="12">
        <v>0</v>
      </c>
      <c r="I9" s="87">
        <v>10</v>
      </c>
      <c r="J9" s="12" t="s">
        <v>97</v>
      </c>
      <c r="K9" s="12"/>
      <c r="L9" s="12" t="s">
        <v>98</v>
      </c>
      <c r="M9" s="14" t="b">
        <v>1</v>
      </c>
      <c r="N9" s="14" t="b">
        <v>1</v>
      </c>
      <c r="O9" s="12">
        <v>0</v>
      </c>
      <c r="P9" s="12" t="s">
        <v>30</v>
      </c>
      <c r="Q9" s="12" t="s">
        <v>99</v>
      </c>
      <c r="R9" s="13" t="s">
        <v>72</v>
      </c>
      <c r="S9" s="13" t="s">
        <v>32</v>
      </c>
      <c r="T9" s="12" t="s">
        <v>33</v>
      </c>
      <c r="U9" s="12" t="s">
        <v>33</v>
      </c>
      <c r="V9" s="12" t="s">
        <v>100</v>
      </c>
      <c r="W9" s="12" t="s">
        <v>11</v>
      </c>
      <c r="X9" s="12" t="s">
        <v>101</v>
      </c>
      <c r="Y9" s="15" t="s">
        <v>102</v>
      </c>
    </row>
    <row r="10" spans="1:25" x14ac:dyDescent="0.2">
      <c r="A10" s="6">
        <v>9</v>
      </c>
      <c r="B10" s="7" t="s">
        <v>103</v>
      </c>
      <c r="C10" s="7" t="s">
        <v>104</v>
      </c>
      <c r="D10" s="8" t="s">
        <v>105</v>
      </c>
      <c r="E10" s="7" t="s">
        <v>106</v>
      </c>
      <c r="F10" s="7">
        <v>150</v>
      </c>
      <c r="G10" s="7">
        <v>300</v>
      </c>
      <c r="H10" s="7">
        <v>30</v>
      </c>
      <c r="I10" s="86">
        <v>5</v>
      </c>
      <c r="J10" s="7" t="s">
        <v>107</v>
      </c>
      <c r="K10" s="7"/>
      <c r="L10" s="7" t="s">
        <v>108</v>
      </c>
      <c r="M10" s="9" t="b">
        <v>0</v>
      </c>
      <c r="N10" s="9" t="b">
        <v>0</v>
      </c>
      <c r="O10" s="7">
        <v>0</v>
      </c>
      <c r="P10" s="7" t="s">
        <v>30</v>
      </c>
      <c r="Q10" s="7" t="s">
        <v>109</v>
      </c>
      <c r="R10" s="8" t="s">
        <v>72</v>
      </c>
      <c r="S10" s="8" t="s">
        <v>32</v>
      </c>
      <c r="T10" s="7" t="s">
        <v>33</v>
      </c>
      <c r="U10" s="7" t="s">
        <v>33</v>
      </c>
      <c r="V10" s="7" t="s">
        <v>110</v>
      </c>
      <c r="W10" s="7" t="s">
        <v>111</v>
      </c>
      <c r="X10" s="7" t="s">
        <v>112</v>
      </c>
      <c r="Y10" s="16" t="s">
        <v>113</v>
      </c>
    </row>
    <row r="11" spans="1:25" x14ac:dyDescent="0.2">
      <c r="A11" s="11">
        <v>10</v>
      </c>
      <c r="B11" s="12" t="s">
        <v>114</v>
      </c>
      <c r="C11" s="12" t="s">
        <v>115</v>
      </c>
      <c r="D11" s="13" t="s">
        <v>27</v>
      </c>
      <c r="E11" s="12" t="s">
        <v>116</v>
      </c>
      <c r="F11" s="12">
        <v>200</v>
      </c>
      <c r="G11" s="12">
        <v>300</v>
      </c>
      <c r="H11" s="12">
        <v>20</v>
      </c>
      <c r="I11" s="87">
        <v>5</v>
      </c>
      <c r="J11" s="12" t="s">
        <v>117</v>
      </c>
      <c r="K11" s="12"/>
      <c r="L11" s="12"/>
      <c r="M11" s="14" t="b">
        <v>0</v>
      </c>
      <c r="N11" s="14" t="b">
        <v>0</v>
      </c>
      <c r="O11" s="12">
        <v>0</v>
      </c>
      <c r="P11" s="12" t="s">
        <v>30</v>
      </c>
      <c r="Q11" s="12"/>
      <c r="R11" s="13" t="s">
        <v>31</v>
      </c>
      <c r="S11" s="13" t="s">
        <v>32</v>
      </c>
      <c r="T11" s="12" t="s">
        <v>33</v>
      </c>
      <c r="U11" s="12" t="s">
        <v>33</v>
      </c>
      <c r="V11" s="12" t="s">
        <v>118</v>
      </c>
      <c r="W11" s="12" t="s">
        <v>35</v>
      </c>
      <c r="X11" s="12" t="s">
        <v>101</v>
      </c>
      <c r="Y11" s="15" t="s">
        <v>119</v>
      </c>
    </row>
    <row r="12" spans="1:25" x14ac:dyDescent="0.2">
      <c r="A12" s="6">
        <v>11</v>
      </c>
      <c r="B12" s="7" t="s">
        <v>120</v>
      </c>
      <c r="C12" s="7" t="s">
        <v>121</v>
      </c>
      <c r="D12" s="8" t="s">
        <v>40</v>
      </c>
      <c r="E12" s="7" t="s">
        <v>41</v>
      </c>
      <c r="F12" s="7">
        <v>125</v>
      </c>
      <c r="G12" s="7">
        <v>300</v>
      </c>
      <c r="H12" s="7">
        <v>0</v>
      </c>
      <c r="I12" s="86">
        <v>10</v>
      </c>
      <c r="J12" s="7" t="s">
        <v>42</v>
      </c>
      <c r="K12" s="7"/>
      <c r="L12" s="7"/>
      <c r="M12" s="9" t="b">
        <v>0</v>
      </c>
      <c r="N12" s="9" t="b">
        <v>0</v>
      </c>
      <c r="O12" s="7">
        <v>100</v>
      </c>
      <c r="P12" s="7" t="s">
        <v>122</v>
      </c>
      <c r="Q12" s="7"/>
      <c r="R12" s="8" t="s">
        <v>43</v>
      </c>
      <c r="S12" s="8" t="s">
        <v>32</v>
      </c>
      <c r="T12" s="7" t="s">
        <v>33</v>
      </c>
      <c r="U12" s="7" t="s">
        <v>33</v>
      </c>
      <c r="V12" s="7" t="s">
        <v>123</v>
      </c>
      <c r="W12" s="7" t="s">
        <v>45</v>
      </c>
      <c r="X12" s="7" t="s">
        <v>101</v>
      </c>
      <c r="Y12" s="16" t="s">
        <v>124</v>
      </c>
    </row>
    <row r="13" spans="1:25" x14ac:dyDescent="0.2">
      <c r="A13" s="11">
        <v>12</v>
      </c>
      <c r="B13" s="12" t="s">
        <v>125</v>
      </c>
      <c r="C13" s="12" t="s">
        <v>126</v>
      </c>
      <c r="D13" s="13" t="s">
        <v>68</v>
      </c>
      <c r="E13" s="12" t="s">
        <v>127</v>
      </c>
      <c r="F13" s="12">
        <v>100</v>
      </c>
      <c r="G13" s="12">
        <v>300</v>
      </c>
      <c r="H13" s="12">
        <v>30</v>
      </c>
      <c r="I13" s="87">
        <v>5</v>
      </c>
      <c r="J13" s="12" t="s">
        <v>128</v>
      </c>
      <c r="K13" s="12"/>
      <c r="L13" s="12"/>
      <c r="M13" s="14" t="b">
        <v>0</v>
      </c>
      <c r="N13" s="14" t="b">
        <v>0</v>
      </c>
      <c r="O13" s="12">
        <v>0</v>
      </c>
      <c r="P13" s="12" t="s">
        <v>30</v>
      </c>
      <c r="Q13" s="12" t="s">
        <v>129</v>
      </c>
      <c r="R13" s="13" t="s">
        <v>130</v>
      </c>
      <c r="S13" s="13" t="s">
        <v>32</v>
      </c>
      <c r="T13" s="12" t="s">
        <v>33</v>
      </c>
      <c r="U13" s="12" t="s">
        <v>33</v>
      </c>
      <c r="V13" s="12" t="s">
        <v>131</v>
      </c>
      <c r="W13" s="12" t="s">
        <v>35</v>
      </c>
      <c r="X13" s="12" t="s">
        <v>101</v>
      </c>
      <c r="Y13" s="15" t="s">
        <v>132</v>
      </c>
    </row>
    <row r="14" spans="1:25" x14ac:dyDescent="0.2">
      <c r="A14" s="6">
        <v>13</v>
      </c>
      <c r="B14" s="7" t="s">
        <v>133</v>
      </c>
      <c r="C14" s="7" t="s">
        <v>134</v>
      </c>
      <c r="D14" s="8" t="s">
        <v>135</v>
      </c>
      <c r="E14" s="7" t="s">
        <v>136</v>
      </c>
      <c r="F14" s="7">
        <v>150</v>
      </c>
      <c r="G14" s="7">
        <v>300</v>
      </c>
      <c r="H14" s="7">
        <v>30</v>
      </c>
      <c r="I14" s="86">
        <v>5</v>
      </c>
      <c r="J14" s="7" t="s">
        <v>137</v>
      </c>
      <c r="K14" s="7" t="s">
        <v>138</v>
      </c>
      <c r="L14" s="7"/>
      <c r="M14" s="9" t="b">
        <v>0</v>
      </c>
      <c r="N14" s="9" t="b">
        <v>0</v>
      </c>
      <c r="O14" s="7">
        <v>0</v>
      </c>
      <c r="P14" s="7" t="s">
        <v>30</v>
      </c>
      <c r="Q14" s="7" t="s">
        <v>139</v>
      </c>
      <c r="R14" s="8" t="s">
        <v>43</v>
      </c>
      <c r="S14" s="8" t="s">
        <v>32</v>
      </c>
      <c r="T14" s="7" t="s">
        <v>33</v>
      </c>
      <c r="U14" s="7" t="s">
        <v>33</v>
      </c>
      <c r="V14" s="7" t="s">
        <v>140</v>
      </c>
      <c r="W14" s="7" t="s">
        <v>111</v>
      </c>
      <c r="X14" s="7" t="s">
        <v>141</v>
      </c>
      <c r="Y14" s="18" t="s">
        <v>142</v>
      </c>
    </row>
    <row r="15" spans="1:25" x14ac:dyDescent="0.2">
      <c r="A15" s="11">
        <v>14</v>
      </c>
      <c r="B15" s="12" t="s">
        <v>143</v>
      </c>
      <c r="C15" s="12" t="s">
        <v>144</v>
      </c>
      <c r="D15" s="13" t="s">
        <v>78</v>
      </c>
      <c r="E15" s="12" t="s">
        <v>145</v>
      </c>
      <c r="F15" s="12">
        <v>100</v>
      </c>
      <c r="G15" s="12">
        <v>300</v>
      </c>
      <c r="H15" s="12">
        <v>10</v>
      </c>
      <c r="I15" s="87">
        <v>5</v>
      </c>
      <c r="J15" s="12" t="s">
        <v>146</v>
      </c>
      <c r="K15" s="12"/>
      <c r="L15" s="12" t="s">
        <v>147</v>
      </c>
      <c r="M15" s="14" t="b">
        <v>0</v>
      </c>
      <c r="N15" s="14" t="b">
        <v>0</v>
      </c>
      <c r="O15" s="12">
        <v>0</v>
      </c>
      <c r="P15" s="12" t="s">
        <v>30</v>
      </c>
      <c r="Q15" s="12" t="s">
        <v>148</v>
      </c>
      <c r="R15" s="13" t="s">
        <v>62</v>
      </c>
      <c r="S15" s="13" t="s">
        <v>32</v>
      </c>
      <c r="T15" s="12" t="s">
        <v>33</v>
      </c>
      <c r="U15" s="12" t="s">
        <v>33</v>
      </c>
      <c r="V15" s="12" t="s">
        <v>149</v>
      </c>
      <c r="W15" s="12" t="s">
        <v>11</v>
      </c>
      <c r="X15" s="12" t="s">
        <v>64</v>
      </c>
      <c r="Y15" s="17" t="s">
        <v>150</v>
      </c>
    </row>
    <row r="16" spans="1:25" x14ac:dyDescent="0.2">
      <c r="A16" s="6">
        <v>15</v>
      </c>
      <c r="B16" s="7" t="s">
        <v>151</v>
      </c>
      <c r="C16" s="7" t="s">
        <v>152</v>
      </c>
      <c r="D16" s="8" t="s">
        <v>95</v>
      </c>
      <c r="E16" s="7" t="s">
        <v>153</v>
      </c>
      <c r="F16" s="7">
        <v>50</v>
      </c>
      <c r="G16" s="7">
        <v>300</v>
      </c>
      <c r="H16" s="7">
        <v>0</v>
      </c>
      <c r="I16" s="86">
        <v>20</v>
      </c>
      <c r="J16" s="7" t="s">
        <v>154</v>
      </c>
      <c r="K16" s="7" t="s">
        <v>155</v>
      </c>
      <c r="L16" s="7" t="s">
        <v>156</v>
      </c>
      <c r="M16" s="9" t="b">
        <v>0</v>
      </c>
      <c r="N16" s="9" t="b">
        <v>0</v>
      </c>
      <c r="O16" s="7">
        <v>0</v>
      </c>
      <c r="P16" s="7" t="s">
        <v>30</v>
      </c>
      <c r="Q16" s="7" t="s">
        <v>157</v>
      </c>
      <c r="R16" s="8" t="s">
        <v>158</v>
      </c>
      <c r="S16" s="8" t="s">
        <v>32</v>
      </c>
      <c r="T16" s="7" t="s">
        <v>33</v>
      </c>
      <c r="U16" s="7" t="s">
        <v>33</v>
      </c>
      <c r="V16" s="7" t="s">
        <v>159</v>
      </c>
      <c r="W16" s="7" t="s">
        <v>11</v>
      </c>
      <c r="X16" s="7" t="s">
        <v>82</v>
      </c>
      <c r="Y16" s="18" t="s">
        <v>160</v>
      </c>
    </row>
    <row r="17" spans="1:25" x14ac:dyDescent="0.2">
      <c r="A17" s="11">
        <v>16</v>
      </c>
      <c r="B17" s="12" t="s">
        <v>161</v>
      </c>
      <c r="C17" s="12" t="s">
        <v>162</v>
      </c>
      <c r="D17" s="13" t="s">
        <v>68</v>
      </c>
      <c r="E17" s="12" t="s">
        <v>163</v>
      </c>
      <c r="F17" s="12">
        <v>400</v>
      </c>
      <c r="G17" s="12">
        <v>300</v>
      </c>
      <c r="H17" s="12">
        <v>900</v>
      </c>
      <c r="I17" s="87">
        <v>5</v>
      </c>
      <c r="J17" s="12" t="s">
        <v>164</v>
      </c>
      <c r="K17" s="12"/>
      <c r="L17" s="12" t="s">
        <v>165</v>
      </c>
      <c r="M17" s="14" t="b">
        <v>0</v>
      </c>
      <c r="N17" s="14" t="b">
        <v>0</v>
      </c>
      <c r="O17" s="12">
        <v>0</v>
      </c>
      <c r="P17" s="12" t="s">
        <v>30</v>
      </c>
      <c r="Q17" s="12" t="s">
        <v>166</v>
      </c>
      <c r="R17" s="13" t="s">
        <v>130</v>
      </c>
      <c r="S17" s="13" t="s">
        <v>32</v>
      </c>
      <c r="T17" s="12" t="s">
        <v>33</v>
      </c>
      <c r="U17" s="12" t="s">
        <v>33</v>
      </c>
      <c r="V17" s="12" t="s">
        <v>167</v>
      </c>
      <c r="W17" s="12" t="s">
        <v>35</v>
      </c>
      <c r="X17" s="12" t="s">
        <v>168</v>
      </c>
      <c r="Y17" s="17" t="s">
        <v>169</v>
      </c>
    </row>
    <row r="18" spans="1:25" x14ac:dyDescent="0.2">
      <c r="A18" s="6">
        <v>17</v>
      </c>
      <c r="B18" s="7" t="s">
        <v>170</v>
      </c>
      <c r="C18" s="7" t="s">
        <v>171</v>
      </c>
      <c r="D18" s="8" t="s">
        <v>27</v>
      </c>
      <c r="E18" s="7" t="s">
        <v>172</v>
      </c>
      <c r="F18" s="7">
        <v>300</v>
      </c>
      <c r="G18" s="7">
        <v>300</v>
      </c>
      <c r="H18" s="7">
        <v>20</v>
      </c>
      <c r="I18" s="86">
        <v>5</v>
      </c>
      <c r="J18" s="7" t="s">
        <v>173</v>
      </c>
      <c r="K18" s="7"/>
      <c r="L18" s="7"/>
      <c r="M18" s="9" t="b">
        <v>0</v>
      </c>
      <c r="N18" s="9" t="b">
        <v>0</v>
      </c>
      <c r="O18" s="7">
        <v>0</v>
      </c>
      <c r="P18" s="7" t="s">
        <v>122</v>
      </c>
      <c r="Q18" s="7"/>
      <c r="R18" s="8" t="s">
        <v>31</v>
      </c>
      <c r="S18" s="8" t="s">
        <v>32</v>
      </c>
      <c r="T18" s="7" t="s">
        <v>33</v>
      </c>
      <c r="U18" s="7" t="s">
        <v>33</v>
      </c>
      <c r="V18" s="7" t="s">
        <v>174</v>
      </c>
      <c r="W18" s="7" t="s">
        <v>35</v>
      </c>
      <c r="X18" s="7" t="s">
        <v>101</v>
      </c>
      <c r="Y18" s="18" t="s">
        <v>175</v>
      </c>
    </row>
    <row r="19" spans="1:25" x14ac:dyDescent="0.2">
      <c r="A19" s="11">
        <v>18</v>
      </c>
      <c r="B19" s="12" t="s">
        <v>176</v>
      </c>
      <c r="C19" s="12" t="s">
        <v>177</v>
      </c>
      <c r="D19" s="13" t="s">
        <v>78</v>
      </c>
      <c r="E19" s="12" t="s">
        <v>178</v>
      </c>
      <c r="F19" s="12">
        <v>250</v>
      </c>
      <c r="G19" s="12">
        <v>300</v>
      </c>
      <c r="H19" s="12">
        <v>20</v>
      </c>
      <c r="I19" s="87">
        <v>5</v>
      </c>
      <c r="J19" s="12" t="s">
        <v>179</v>
      </c>
      <c r="K19" s="12"/>
      <c r="L19" s="12" t="s">
        <v>147</v>
      </c>
      <c r="M19" s="14" t="b">
        <v>0</v>
      </c>
      <c r="N19" s="14" t="b">
        <v>0</v>
      </c>
      <c r="O19" s="12">
        <v>0</v>
      </c>
      <c r="P19" s="12" t="s">
        <v>180</v>
      </c>
      <c r="Q19" s="12" t="s">
        <v>148</v>
      </c>
      <c r="R19" s="13" t="s">
        <v>62</v>
      </c>
      <c r="S19" s="13" t="s">
        <v>32</v>
      </c>
      <c r="T19" s="12" t="s">
        <v>33</v>
      </c>
      <c r="U19" s="12" t="s">
        <v>33</v>
      </c>
      <c r="V19" s="12" t="s">
        <v>181</v>
      </c>
      <c r="W19" s="12" t="s">
        <v>11</v>
      </c>
      <c r="X19" s="12" t="s">
        <v>182</v>
      </c>
      <c r="Y19" s="17" t="s">
        <v>183</v>
      </c>
    </row>
    <row r="20" spans="1:25" x14ac:dyDescent="0.2">
      <c r="A20" s="6">
        <v>19</v>
      </c>
      <c r="B20" s="7" t="s">
        <v>184</v>
      </c>
      <c r="C20" s="7" t="s">
        <v>185</v>
      </c>
      <c r="D20" s="8" t="s">
        <v>59</v>
      </c>
      <c r="E20" s="7" t="s">
        <v>186</v>
      </c>
      <c r="F20" s="7">
        <v>150</v>
      </c>
      <c r="G20" s="7">
        <v>1</v>
      </c>
      <c r="H20" s="7">
        <v>1800</v>
      </c>
      <c r="I20" s="86">
        <v>35</v>
      </c>
      <c r="J20" s="7" t="s">
        <v>97</v>
      </c>
      <c r="K20" s="7"/>
      <c r="L20" s="7"/>
      <c r="M20" s="9" t="b">
        <v>0</v>
      </c>
      <c r="N20" s="9" t="b">
        <v>0</v>
      </c>
      <c r="O20" s="7">
        <v>0</v>
      </c>
      <c r="P20" s="7" t="s">
        <v>30</v>
      </c>
      <c r="Q20" s="7" t="s">
        <v>166</v>
      </c>
      <c r="R20" s="8" t="s">
        <v>187</v>
      </c>
      <c r="S20" s="8" t="s">
        <v>32</v>
      </c>
      <c r="T20" s="7" t="s">
        <v>33</v>
      </c>
      <c r="U20" s="7" t="s">
        <v>33</v>
      </c>
      <c r="V20" s="7" t="s">
        <v>188</v>
      </c>
      <c r="W20" s="7" t="s">
        <v>11</v>
      </c>
      <c r="X20" s="7" t="s">
        <v>189</v>
      </c>
      <c r="Y20" s="18" t="s">
        <v>190</v>
      </c>
    </row>
    <row r="21" spans="1:25" x14ac:dyDescent="0.2">
      <c r="A21" s="11">
        <v>20</v>
      </c>
      <c r="B21" s="12" t="s">
        <v>191</v>
      </c>
      <c r="C21" s="12" t="s">
        <v>192</v>
      </c>
      <c r="D21" s="13" t="s">
        <v>27</v>
      </c>
      <c r="E21" s="12" t="s">
        <v>193</v>
      </c>
      <c r="F21" s="12">
        <v>125</v>
      </c>
      <c r="G21" s="12">
        <v>300</v>
      </c>
      <c r="H21" s="12">
        <v>20</v>
      </c>
      <c r="I21" s="87">
        <v>5</v>
      </c>
      <c r="J21" s="12" t="s">
        <v>194</v>
      </c>
      <c r="K21" s="12"/>
      <c r="L21" s="12"/>
      <c r="M21" s="14" t="b">
        <v>0</v>
      </c>
      <c r="N21" s="14" t="b">
        <v>0</v>
      </c>
      <c r="O21" s="12">
        <v>0</v>
      </c>
      <c r="P21" s="12" t="s">
        <v>30</v>
      </c>
      <c r="Q21" s="12" t="s">
        <v>109</v>
      </c>
      <c r="R21" s="13" t="s">
        <v>31</v>
      </c>
      <c r="S21" s="13" t="s">
        <v>32</v>
      </c>
      <c r="T21" s="12" t="s">
        <v>33</v>
      </c>
      <c r="U21" s="12" t="s">
        <v>33</v>
      </c>
      <c r="V21" s="12" t="s">
        <v>195</v>
      </c>
      <c r="W21" s="12" t="s">
        <v>35</v>
      </c>
      <c r="X21" s="12" t="s">
        <v>101</v>
      </c>
      <c r="Y21" s="17" t="s">
        <v>196</v>
      </c>
    </row>
    <row r="22" spans="1:25" x14ac:dyDescent="0.2">
      <c r="A22" s="6">
        <v>21</v>
      </c>
      <c r="B22" s="7" t="s">
        <v>197</v>
      </c>
      <c r="C22" s="7" t="s">
        <v>198</v>
      </c>
      <c r="D22" s="8" t="s">
        <v>199</v>
      </c>
      <c r="E22" s="7" t="s">
        <v>200</v>
      </c>
      <c r="F22" s="7">
        <v>50</v>
      </c>
      <c r="G22" s="7">
        <v>300</v>
      </c>
      <c r="H22" s="7">
        <v>0</v>
      </c>
      <c r="I22" s="86">
        <v>20</v>
      </c>
      <c r="J22" s="7" t="s">
        <v>201</v>
      </c>
      <c r="K22" s="7"/>
      <c r="L22" s="7" t="s">
        <v>202</v>
      </c>
      <c r="M22" s="9" t="b">
        <v>1</v>
      </c>
      <c r="N22" s="9" t="b">
        <v>0</v>
      </c>
      <c r="O22" s="7">
        <v>0</v>
      </c>
      <c r="P22" s="7" t="s">
        <v>30</v>
      </c>
      <c r="Q22" s="7" t="s">
        <v>203</v>
      </c>
      <c r="R22" s="8" t="s">
        <v>158</v>
      </c>
      <c r="S22" s="8" t="s">
        <v>32</v>
      </c>
      <c r="T22" s="7" t="s">
        <v>33</v>
      </c>
      <c r="U22" s="7" t="s">
        <v>33</v>
      </c>
      <c r="V22" s="7" t="s">
        <v>204</v>
      </c>
      <c r="W22" s="7" t="s">
        <v>11</v>
      </c>
      <c r="X22" s="7" t="s">
        <v>205</v>
      </c>
      <c r="Y22" s="18" t="s">
        <v>206</v>
      </c>
    </row>
    <row r="23" spans="1:25" x14ac:dyDescent="0.2">
      <c r="A23" s="11">
        <v>22</v>
      </c>
      <c r="B23" s="12" t="s">
        <v>207</v>
      </c>
      <c r="C23" s="12" t="s">
        <v>208</v>
      </c>
      <c r="D23" s="13" t="s">
        <v>27</v>
      </c>
      <c r="E23" s="12" t="s">
        <v>209</v>
      </c>
      <c r="F23" s="12">
        <v>125</v>
      </c>
      <c r="G23" s="12">
        <v>300</v>
      </c>
      <c r="H23" s="12">
        <v>20</v>
      </c>
      <c r="I23" s="87">
        <v>5</v>
      </c>
      <c r="J23" s="12" t="s">
        <v>210</v>
      </c>
      <c r="K23" s="12"/>
      <c r="L23" s="12" t="s">
        <v>211</v>
      </c>
      <c r="M23" s="14" t="b">
        <v>0</v>
      </c>
      <c r="N23" s="14" t="b">
        <v>0</v>
      </c>
      <c r="O23" s="12">
        <v>0</v>
      </c>
      <c r="P23" s="12" t="s">
        <v>122</v>
      </c>
      <c r="Q23" s="12"/>
      <c r="R23" s="13" t="s">
        <v>31</v>
      </c>
      <c r="S23" s="13" t="s">
        <v>32</v>
      </c>
      <c r="T23" s="12" t="s">
        <v>33</v>
      </c>
      <c r="U23" s="12" t="s">
        <v>33</v>
      </c>
      <c r="V23" s="12" t="s">
        <v>212</v>
      </c>
      <c r="W23" s="12" t="s">
        <v>35</v>
      </c>
      <c r="X23" s="12" t="s">
        <v>82</v>
      </c>
      <c r="Y23" s="17" t="s">
        <v>213</v>
      </c>
    </row>
    <row r="24" spans="1:25" x14ac:dyDescent="0.2">
      <c r="A24" s="6">
        <v>23</v>
      </c>
      <c r="B24" s="7" t="s">
        <v>214</v>
      </c>
      <c r="C24" s="7" t="s">
        <v>215</v>
      </c>
      <c r="D24" s="8" t="s">
        <v>216</v>
      </c>
      <c r="E24" s="7" t="s">
        <v>217</v>
      </c>
      <c r="F24" s="7">
        <v>125</v>
      </c>
      <c r="G24" s="7">
        <v>300</v>
      </c>
      <c r="H24" s="7">
        <v>10</v>
      </c>
      <c r="I24" s="86">
        <v>5</v>
      </c>
      <c r="J24" s="7" t="s">
        <v>218</v>
      </c>
      <c r="K24" s="7"/>
      <c r="L24" s="7"/>
      <c r="M24" s="9" t="b">
        <v>0</v>
      </c>
      <c r="N24" s="9" t="b">
        <v>0</v>
      </c>
      <c r="O24" s="7">
        <v>0</v>
      </c>
      <c r="P24" s="7" t="s">
        <v>30</v>
      </c>
      <c r="Q24" s="7" t="s">
        <v>219</v>
      </c>
      <c r="R24" s="8" t="s">
        <v>72</v>
      </c>
      <c r="S24" s="8" t="s">
        <v>32</v>
      </c>
      <c r="T24" s="7" t="s">
        <v>33</v>
      </c>
      <c r="U24" s="7" t="s">
        <v>33</v>
      </c>
      <c r="V24" s="7" t="s">
        <v>220</v>
      </c>
      <c r="W24" s="7" t="s">
        <v>35</v>
      </c>
      <c r="X24" s="7" t="s">
        <v>112</v>
      </c>
      <c r="Y24" s="18" t="s">
        <v>221</v>
      </c>
    </row>
    <row r="25" spans="1:25" x14ac:dyDescent="0.2">
      <c r="A25" s="11">
        <v>24</v>
      </c>
      <c r="B25" s="12" t="s">
        <v>222</v>
      </c>
      <c r="C25" s="12" t="s">
        <v>223</v>
      </c>
      <c r="D25" s="13" t="s">
        <v>68</v>
      </c>
      <c r="E25" s="12" t="s">
        <v>224</v>
      </c>
      <c r="F25" s="12">
        <v>325</v>
      </c>
      <c r="G25" s="12">
        <v>300</v>
      </c>
      <c r="H25" s="12">
        <v>80</v>
      </c>
      <c r="I25" s="87">
        <v>5</v>
      </c>
      <c r="J25" s="12" t="s">
        <v>225</v>
      </c>
      <c r="K25" s="12"/>
      <c r="L25" s="12"/>
      <c r="M25" s="14" t="b">
        <v>0</v>
      </c>
      <c r="N25" s="14" t="b">
        <v>0</v>
      </c>
      <c r="O25" s="12">
        <v>0</v>
      </c>
      <c r="P25" s="12" t="s">
        <v>30</v>
      </c>
      <c r="Q25" s="12" t="s">
        <v>226</v>
      </c>
      <c r="R25" s="13" t="s">
        <v>130</v>
      </c>
      <c r="S25" s="13" t="s">
        <v>32</v>
      </c>
      <c r="T25" s="12" t="s">
        <v>33</v>
      </c>
      <c r="U25" s="12" t="s">
        <v>33</v>
      </c>
      <c r="V25" s="12" t="s">
        <v>227</v>
      </c>
      <c r="W25" s="12" t="s">
        <v>35</v>
      </c>
      <c r="X25" s="12" t="s">
        <v>101</v>
      </c>
      <c r="Y25" s="17" t="s">
        <v>228</v>
      </c>
    </row>
    <row r="26" spans="1:25" x14ac:dyDescent="0.2">
      <c r="A26" s="6">
        <v>25</v>
      </c>
      <c r="B26" s="7" t="s">
        <v>229</v>
      </c>
      <c r="C26" s="7" t="s">
        <v>230</v>
      </c>
      <c r="D26" s="8" t="s">
        <v>49</v>
      </c>
      <c r="E26" s="7" t="s">
        <v>231</v>
      </c>
      <c r="F26" s="7">
        <v>125</v>
      </c>
      <c r="G26" s="7">
        <v>8000</v>
      </c>
      <c r="H26" s="7">
        <v>0</v>
      </c>
      <c r="I26" s="86">
        <v>20</v>
      </c>
      <c r="J26" s="7" t="s">
        <v>232</v>
      </c>
      <c r="K26" s="7"/>
      <c r="L26" s="7" t="s">
        <v>233</v>
      </c>
      <c r="M26" s="9" t="b">
        <v>0</v>
      </c>
      <c r="N26" s="9" t="b">
        <v>0</v>
      </c>
      <c r="O26" s="7">
        <v>0</v>
      </c>
      <c r="P26" s="7" t="s">
        <v>30</v>
      </c>
      <c r="Q26" s="7"/>
      <c r="R26" s="8" t="s">
        <v>52</v>
      </c>
      <c r="S26" s="8" t="s">
        <v>32</v>
      </c>
      <c r="T26" s="7" t="s">
        <v>33</v>
      </c>
      <c r="U26" s="7" t="s">
        <v>33</v>
      </c>
      <c r="V26" s="7" t="s">
        <v>234</v>
      </c>
      <c r="W26" s="7" t="s">
        <v>54</v>
      </c>
      <c r="X26" s="7" t="s">
        <v>101</v>
      </c>
      <c r="Y26" s="18" t="s">
        <v>235</v>
      </c>
    </row>
    <row r="27" spans="1:25" x14ac:dyDescent="0.2">
      <c r="A27" s="11">
        <v>26</v>
      </c>
      <c r="B27" s="12" t="s">
        <v>236</v>
      </c>
      <c r="C27" s="12" t="s">
        <v>237</v>
      </c>
      <c r="D27" s="13" t="s">
        <v>86</v>
      </c>
      <c r="E27" s="12" t="s">
        <v>238</v>
      </c>
      <c r="F27" s="12">
        <v>500</v>
      </c>
      <c r="G27" s="12">
        <v>300</v>
      </c>
      <c r="H27" s="12">
        <v>80</v>
      </c>
      <c r="I27" s="87">
        <v>5</v>
      </c>
      <c r="J27" s="12" t="s">
        <v>239</v>
      </c>
      <c r="K27" s="12"/>
      <c r="L27" s="12"/>
      <c r="M27" s="14" t="b">
        <v>0</v>
      </c>
      <c r="N27" s="14" t="b">
        <v>0</v>
      </c>
      <c r="O27" s="12">
        <v>0</v>
      </c>
      <c r="P27" s="12" t="s">
        <v>122</v>
      </c>
      <c r="Q27" s="12" t="s">
        <v>240</v>
      </c>
      <c r="R27" s="13" t="s">
        <v>130</v>
      </c>
      <c r="S27" s="13" t="s">
        <v>32</v>
      </c>
      <c r="T27" s="12" t="s">
        <v>33</v>
      </c>
      <c r="U27" s="12" t="s">
        <v>33</v>
      </c>
      <c r="V27" s="12" t="s">
        <v>241</v>
      </c>
      <c r="W27" s="12" t="s">
        <v>35</v>
      </c>
      <c r="X27" s="12" t="s">
        <v>101</v>
      </c>
      <c r="Y27" s="17" t="s">
        <v>242</v>
      </c>
    </row>
    <row r="28" spans="1:25" x14ac:dyDescent="0.2">
      <c r="A28" s="6">
        <v>27</v>
      </c>
      <c r="B28" s="7" t="s">
        <v>243</v>
      </c>
      <c r="C28" s="7" t="s">
        <v>244</v>
      </c>
      <c r="D28" s="8" t="s">
        <v>135</v>
      </c>
      <c r="E28" s="7" t="s">
        <v>245</v>
      </c>
      <c r="F28" s="7">
        <v>0</v>
      </c>
      <c r="G28" s="7">
        <v>300</v>
      </c>
      <c r="H28" s="7">
        <v>0</v>
      </c>
      <c r="I28" s="86">
        <v>10</v>
      </c>
      <c r="J28" s="7" t="s">
        <v>97</v>
      </c>
      <c r="K28" s="7"/>
      <c r="L28" s="7" t="s">
        <v>246</v>
      </c>
      <c r="M28" s="9" t="b">
        <v>1</v>
      </c>
      <c r="N28" s="9" t="b">
        <v>0</v>
      </c>
      <c r="O28" s="7">
        <v>0</v>
      </c>
      <c r="P28" s="7" t="s">
        <v>30</v>
      </c>
      <c r="Q28" s="7" t="s">
        <v>247</v>
      </c>
      <c r="R28" s="8" t="s">
        <v>62</v>
      </c>
      <c r="S28" s="8" t="s">
        <v>32</v>
      </c>
      <c r="T28" s="7" t="s">
        <v>33</v>
      </c>
      <c r="U28" s="7" t="s">
        <v>33</v>
      </c>
      <c r="V28" s="7" t="s">
        <v>248</v>
      </c>
      <c r="W28" s="7" t="s">
        <v>11</v>
      </c>
      <c r="X28" s="7" t="s">
        <v>168</v>
      </c>
      <c r="Y28" s="18" t="s">
        <v>249</v>
      </c>
    </row>
    <row r="29" spans="1:25" x14ac:dyDescent="0.2">
      <c r="A29" s="11">
        <v>28</v>
      </c>
      <c r="B29" s="12" t="s">
        <v>250</v>
      </c>
      <c r="C29" s="12" t="s">
        <v>251</v>
      </c>
      <c r="D29" s="13" t="s">
        <v>135</v>
      </c>
      <c r="E29" s="12" t="s">
        <v>252</v>
      </c>
      <c r="F29" s="12">
        <v>200</v>
      </c>
      <c r="G29" s="12">
        <v>300</v>
      </c>
      <c r="H29" s="12">
        <v>50</v>
      </c>
      <c r="I29" s="87">
        <v>20</v>
      </c>
      <c r="J29" s="12" t="s">
        <v>253</v>
      </c>
      <c r="K29" s="12"/>
      <c r="L29" s="12" t="s">
        <v>254</v>
      </c>
      <c r="M29" s="14" t="b">
        <v>0</v>
      </c>
      <c r="N29" s="14" t="b">
        <v>0</v>
      </c>
      <c r="O29" s="12">
        <v>0</v>
      </c>
      <c r="P29" s="12" t="s">
        <v>30</v>
      </c>
      <c r="Q29" s="12"/>
      <c r="R29" s="13" t="s">
        <v>130</v>
      </c>
      <c r="S29" s="13" t="s">
        <v>32</v>
      </c>
      <c r="T29" s="12" t="s">
        <v>33</v>
      </c>
      <c r="U29" s="12" t="s">
        <v>33</v>
      </c>
      <c r="V29" s="12" t="s">
        <v>255</v>
      </c>
      <c r="W29" s="12" t="s">
        <v>35</v>
      </c>
      <c r="X29" s="12" t="s">
        <v>168</v>
      </c>
      <c r="Y29" s="17" t="s">
        <v>256</v>
      </c>
    </row>
    <row r="30" spans="1:25" x14ac:dyDescent="0.2">
      <c r="A30" s="6">
        <v>29</v>
      </c>
      <c r="B30" s="7" t="s">
        <v>257</v>
      </c>
      <c r="C30" s="7" t="s">
        <v>258</v>
      </c>
      <c r="D30" s="8" t="s">
        <v>49</v>
      </c>
      <c r="E30" s="7" t="s">
        <v>259</v>
      </c>
      <c r="F30" s="7">
        <v>75</v>
      </c>
      <c r="G30" s="7">
        <v>1500</v>
      </c>
      <c r="H30" s="7">
        <v>0</v>
      </c>
      <c r="I30" s="86">
        <v>15</v>
      </c>
      <c r="J30" s="7" t="s">
        <v>260</v>
      </c>
      <c r="K30" s="7"/>
      <c r="L30" s="7"/>
      <c r="M30" s="9" t="b">
        <v>0</v>
      </c>
      <c r="N30" s="9" t="b">
        <v>0</v>
      </c>
      <c r="O30" s="7">
        <v>0</v>
      </c>
      <c r="P30" s="7" t="s">
        <v>30</v>
      </c>
      <c r="Q30" s="7" t="s">
        <v>157</v>
      </c>
      <c r="R30" s="8" t="s">
        <v>72</v>
      </c>
      <c r="S30" s="8" t="s">
        <v>32</v>
      </c>
      <c r="T30" s="7" t="s">
        <v>33</v>
      </c>
      <c r="U30" s="7" t="s">
        <v>33</v>
      </c>
      <c r="V30" s="7" t="s">
        <v>261</v>
      </c>
      <c r="W30" s="7" t="s">
        <v>54</v>
      </c>
      <c r="X30" s="7" t="s">
        <v>168</v>
      </c>
      <c r="Y30" s="18" t="s">
        <v>262</v>
      </c>
    </row>
    <row r="31" spans="1:25" x14ac:dyDescent="0.2">
      <c r="A31" s="11">
        <v>30</v>
      </c>
      <c r="B31" s="12" t="s">
        <v>263</v>
      </c>
      <c r="C31" s="12" t="s">
        <v>264</v>
      </c>
      <c r="D31" s="13" t="s">
        <v>95</v>
      </c>
      <c r="E31" s="12" t="s">
        <v>265</v>
      </c>
      <c r="F31" s="12">
        <v>25</v>
      </c>
      <c r="G31" s="12">
        <v>300</v>
      </c>
      <c r="H31" s="12">
        <v>0</v>
      </c>
      <c r="I31" s="87">
        <v>20</v>
      </c>
      <c r="J31" s="12" t="s">
        <v>266</v>
      </c>
      <c r="K31" s="12"/>
      <c r="L31" s="12" t="s">
        <v>267</v>
      </c>
      <c r="M31" s="14" t="b">
        <v>1</v>
      </c>
      <c r="N31" s="14" t="b">
        <v>0</v>
      </c>
      <c r="O31" s="12">
        <v>0</v>
      </c>
      <c r="P31" s="12" t="s">
        <v>268</v>
      </c>
      <c r="Q31" s="12" t="s">
        <v>269</v>
      </c>
      <c r="R31" s="13" t="s">
        <v>270</v>
      </c>
      <c r="S31" s="13" t="s">
        <v>32</v>
      </c>
      <c r="T31" s="12" t="s">
        <v>33</v>
      </c>
      <c r="U31" s="12" t="s">
        <v>33</v>
      </c>
      <c r="V31" s="12" t="s">
        <v>271</v>
      </c>
      <c r="W31" s="12" t="s">
        <v>11</v>
      </c>
      <c r="X31" s="12" t="s">
        <v>168</v>
      </c>
      <c r="Y31" s="17" t="s">
        <v>272</v>
      </c>
    </row>
    <row r="32" spans="1:25" x14ac:dyDescent="0.2">
      <c r="A32" s="6">
        <v>31</v>
      </c>
      <c r="B32" s="7" t="s">
        <v>273</v>
      </c>
      <c r="C32" s="7" t="s">
        <v>274</v>
      </c>
      <c r="D32" s="8" t="s">
        <v>27</v>
      </c>
      <c r="E32" s="7" t="s">
        <v>275</v>
      </c>
      <c r="F32" s="7">
        <v>150</v>
      </c>
      <c r="G32" s="7">
        <v>300</v>
      </c>
      <c r="H32" s="7">
        <v>10</v>
      </c>
      <c r="I32" s="86">
        <v>5</v>
      </c>
      <c r="J32" s="7" t="s">
        <v>276</v>
      </c>
      <c r="K32" s="7"/>
      <c r="L32" s="7"/>
      <c r="M32" s="9" t="b">
        <v>0</v>
      </c>
      <c r="N32" s="9" t="b">
        <v>0</v>
      </c>
      <c r="O32" s="7">
        <v>0</v>
      </c>
      <c r="P32" s="7" t="s">
        <v>30</v>
      </c>
      <c r="Q32" s="7" t="s">
        <v>277</v>
      </c>
      <c r="R32" s="8" t="s">
        <v>62</v>
      </c>
      <c r="S32" s="8" t="s">
        <v>32</v>
      </c>
      <c r="T32" s="7" t="s">
        <v>33</v>
      </c>
      <c r="U32" s="7" t="s">
        <v>33</v>
      </c>
      <c r="V32" s="7" t="s">
        <v>278</v>
      </c>
      <c r="W32" s="7" t="s">
        <v>35</v>
      </c>
      <c r="X32" s="7" t="s">
        <v>82</v>
      </c>
      <c r="Y32" s="18" t="s">
        <v>279</v>
      </c>
    </row>
    <row r="33" spans="1:25" x14ac:dyDescent="0.2">
      <c r="A33" s="11">
        <v>32</v>
      </c>
      <c r="B33" s="12" t="s">
        <v>280</v>
      </c>
      <c r="C33" s="12" t="s">
        <v>281</v>
      </c>
      <c r="D33" s="13" t="s">
        <v>27</v>
      </c>
      <c r="E33" s="12" t="s">
        <v>282</v>
      </c>
      <c r="F33" s="12">
        <v>150</v>
      </c>
      <c r="G33" s="12">
        <v>300</v>
      </c>
      <c r="H33" s="12">
        <v>30</v>
      </c>
      <c r="I33" s="87">
        <v>5</v>
      </c>
      <c r="J33" s="12" t="s">
        <v>283</v>
      </c>
      <c r="K33" s="12"/>
      <c r="L33" s="12"/>
      <c r="M33" s="14" t="b">
        <v>0</v>
      </c>
      <c r="N33" s="14" t="b">
        <v>0</v>
      </c>
      <c r="O33" s="12">
        <v>0</v>
      </c>
      <c r="P33" s="12" t="s">
        <v>30</v>
      </c>
      <c r="Q33" s="12"/>
      <c r="R33" s="13" t="s">
        <v>43</v>
      </c>
      <c r="S33" s="13" t="s">
        <v>32</v>
      </c>
      <c r="T33" s="12">
        <v>1500</v>
      </c>
      <c r="U33" s="12">
        <v>0</v>
      </c>
      <c r="V33" s="12" t="s">
        <v>284</v>
      </c>
      <c r="W33" s="12" t="s">
        <v>35</v>
      </c>
      <c r="X33" s="12" t="s">
        <v>82</v>
      </c>
      <c r="Y33" s="17" t="s">
        <v>285</v>
      </c>
    </row>
    <row r="34" spans="1:25" x14ac:dyDescent="0.2">
      <c r="A34" s="6">
        <v>33</v>
      </c>
      <c r="B34" s="7" t="s">
        <v>286</v>
      </c>
      <c r="C34" s="7" t="s">
        <v>286</v>
      </c>
      <c r="D34" s="8" t="s">
        <v>68</v>
      </c>
      <c r="E34" s="7" t="s">
        <v>287</v>
      </c>
      <c r="F34" s="7">
        <v>175</v>
      </c>
      <c r="G34" s="7">
        <v>300</v>
      </c>
      <c r="H34" s="7">
        <v>60</v>
      </c>
      <c r="I34" s="86">
        <v>5</v>
      </c>
      <c r="J34" s="7" t="s">
        <v>288</v>
      </c>
      <c r="K34" s="7"/>
      <c r="L34" s="7"/>
      <c r="M34" s="9" t="b">
        <v>0</v>
      </c>
      <c r="N34" s="9" t="b">
        <v>0</v>
      </c>
      <c r="O34" s="7">
        <v>0</v>
      </c>
      <c r="P34" s="7" t="s">
        <v>30</v>
      </c>
      <c r="Q34" s="7"/>
      <c r="R34" s="8" t="s">
        <v>31</v>
      </c>
      <c r="S34" s="8" t="s">
        <v>32</v>
      </c>
      <c r="T34" s="7" t="s">
        <v>33</v>
      </c>
      <c r="U34" s="7" t="s">
        <v>33</v>
      </c>
      <c r="V34" s="7" t="s">
        <v>289</v>
      </c>
      <c r="W34" s="7" t="s">
        <v>35</v>
      </c>
      <c r="X34" s="7" t="s">
        <v>168</v>
      </c>
      <c r="Y34" s="18" t="s">
        <v>290</v>
      </c>
    </row>
    <row r="35" spans="1:25" x14ac:dyDescent="0.2">
      <c r="A35" s="11">
        <v>34</v>
      </c>
      <c r="B35" s="12" t="s">
        <v>291</v>
      </c>
      <c r="C35" s="12" t="s">
        <v>292</v>
      </c>
      <c r="D35" s="13" t="s">
        <v>49</v>
      </c>
      <c r="E35" s="12" t="s">
        <v>293</v>
      </c>
      <c r="F35" s="12">
        <v>100</v>
      </c>
      <c r="G35" s="12">
        <v>3000</v>
      </c>
      <c r="H35" s="12">
        <v>20</v>
      </c>
      <c r="I35" s="87">
        <v>15</v>
      </c>
      <c r="J35" s="12" t="s">
        <v>294</v>
      </c>
      <c r="K35" s="12"/>
      <c r="L35" s="12"/>
      <c r="M35" s="14" t="b">
        <v>0</v>
      </c>
      <c r="N35" s="14" t="b">
        <v>0</v>
      </c>
      <c r="O35" s="12">
        <v>0</v>
      </c>
      <c r="P35" s="12" t="s">
        <v>122</v>
      </c>
      <c r="Q35" s="12" t="s">
        <v>295</v>
      </c>
      <c r="R35" s="13" t="s">
        <v>130</v>
      </c>
      <c r="S35" s="13" t="s">
        <v>32</v>
      </c>
      <c r="T35" s="12" t="s">
        <v>33</v>
      </c>
      <c r="U35" s="12" t="s">
        <v>33</v>
      </c>
      <c r="V35" s="12" t="s">
        <v>296</v>
      </c>
      <c r="W35" s="12" t="s">
        <v>54</v>
      </c>
      <c r="X35" s="12" t="s">
        <v>168</v>
      </c>
      <c r="Y35" s="17" t="s">
        <v>297</v>
      </c>
    </row>
    <row r="36" spans="1:25" x14ac:dyDescent="0.2">
      <c r="A36" s="6">
        <v>35</v>
      </c>
      <c r="B36" s="7" t="s">
        <v>298</v>
      </c>
      <c r="C36" s="7" t="s">
        <v>299</v>
      </c>
      <c r="D36" s="8" t="s">
        <v>95</v>
      </c>
      <c r="E36" s="7" t="s">
        <v>300</v>
      </c>
      <c r="F36" s="7">
        <v>0</v>
      </c>
      <c r="G36" s="7">
        <v>1</v>
      </c>
      <c r="H36" s="7">
        <v>0</v>
      </c>
      <c r="I36" s="86">
        <v>20</v>
      </c>
      <c r="J36" s="7" t="s">
        <v>301</v>
      </c>
      <c r="K36" s="7"/>
      <c r="L36" s="7" t="s">
        <v>302</v>
      </c>
      <c r="M36" s="9" t="b">
        <v>1</v>
      </c>
      <c r="N36" s="9" t="b">
        <v>0</v>
      </c>
      <c r="O36" s="7">
        <v>0</v>
      </c>
      <c r="P36" s="7" t="s">
        <v>30</v>
      </c>
      <c r="Q36" s="7" t="s">
        <v>303</v>
      </c>
      <c r="R36" s="8" t="s">
        <v>43</v>
      </c>
      <c r="S36" s="8" t="s">
        <v>32</v>
      </c>
      <c r="T36" s="7" t="s">
        <v>33</v>
      </c>
      <c r="U36" s="7" t="s">
        <v>33</v>
      </c>
      <c r="V36" s="7" t="s">
        <v>304</v>
      </c>
      <c r="W36" s="7" t="s">
        <v>11</v>
      </c>
      <c r="X36" s="7" t="s">
        <v>168</v>
      </c>
      <c r="Y36" s="18" t="s">
        <v>305</v>
      </c>
    </row>
    <row r="37" spans="1:25" x14ac:dyDescent="0.2">
      <c r="A37" s="11">
        <v>36</v>
      </c>
      <c r="B37" s="12" t="s">
        <v>306</v>
      </c>
      <c r="C37" s="12" t="s">
        <v>307</v>
      </c>
      <c r="D37" s="13" t="s">
        <v>40</v>
      </c>
      <c r="E37" s="12" t="s">
        <v>308</v>
      </c>
      <c r="F37" s="12">
        <v>80</v>
      </c>
      <c r="G37" s="12">
        <v>1</v>
      </c>
      <c r="H37" s="12">
        <v>0</v>
      </c>
      <c r="I37" s="87">
        <v>50</v>
      </c>
      <c r="J37" s="12" t="s">
        <v>97</v>
      </c>
      <c r="K37" s="12"/>
      <c r="L37" s="12"/>
      <c r="M37" s="14" t="b">
        <v>1</v>
      </c>
      <c r="N37" s="14" t="b">
        <v>1</v>
      </c>
      <c r="O37" s="12">
        <v>50</v>
      </c>
      <c r="P37" s="12" t="s">
        <v>122</v>
      </c>
      <c r="Q37" s="12" t="s">
        <v>309</v>
      </c>
      <c r="R37" s="13" t="s">
        <v>72</v>
      </c>
      <c r="S37" s="13" t="s">
        <v>32</v>
      </c>
      <c r="T37" s="12" t="s">
        <v>33</v>
      </c>
      <c r="U37" s="12" t="s">
        <v>33</v>
      </c>
      <c r="V37" s="12" t="s">
        <v>310</v>
      </c>
      <c r="W37" s="12" t="s">
        <v>45</v>
      </c>
      <c r="X37" s="12" t="s">
        <v>168</v>
      </c>
      <c r="Y37" s="17" t="s">
        <v>311</v>
      </c>
    </row>
    <row r="38" spans="1:25" x14ac:dyDescent="0.2">
      <c r="A38" s="6">
        <v>37</v>
      </c>
      <c r="B38" s="7" t="s">
        <v>312</v>
      </c>
      <c r="C38" s="7" t="s">
        <v>313</v>
      </c>
      <c r="D38" s="8" t="s">
        <v>78</v>
      </c>
      <c r="E38" s="7" t="s">
        <v>314</v>
      </c>
      <c r="F38" s="7">
        <v>200</v>
      </c>
      <c r="G38" s="7">
        <v>300</v>
      </c>
      <c r="H38" s="7">
        <v>40</v>
      </c>
      <c r="I38" s="86">
        <v>5</v>
      </c>
      <c r="J38" s="7" t="s">
        <v>315</v>
      </c>
      <c r="K38" s="7" t="s">
        <v>316</v>
      </c>
      <c r="L38" s="7"/>
      <c r="M38" s="9" t="b">
        <v>0</v>
      </c>
      <c r="N38" s="9" t="b">
        <v>0</v>
      </c>
      <c r="O38" s="7">
        <v>0</v>
      </c>
      <c r="P38" s="7" t="s">
        <v>122</v>
      </c>
      <c r="Q38" s="7"/>
      <c r="R38" s="8" t="s">
        <v>158</v>
      </c>
      <c r="S38" s="8" t="s">
        <v>32</v>
      </c>
      <c r="T38" s="7" t="s">
        <v>33</v>
      </c>
      <c r="U38" s="7" t="s">
        <v>33</v>
      </c>
      <c r="V38" s="7" t="s">
        <v>317</v>
      </c>
      <c r="W38" s="7" t="s">
        <v>35</v>
      </c>
      <c r="X38" s="7" t="s">
        <v>141</v>
      </c>
      <c r="Y38" s="18" t="s">
        <v>318</v>
      </c>
    </row>
    <row r="39" spans="1:25" x14ac:dyDescent="0.2">
      <c r="A39" s="11">
        <v>38</v>
      </c>
      <c r="B39" s="12" t="s">
        <v>319</v>
      </c>
      <c r="C39" s="12" t="s">
        <v>320</v>
      </c>
      <c r="D39" s="13" t="s">
        <v>95</v>
      </c>
      <c r="E39" s="12" t="s">
        <v>321</v>
      </c>
      <c r="F39" s="12">
        <v>50</v>
      </c>
      <c r="G39" s="12">
        <v>1</v>
      </c>
      <c r="H39" s="12">
        <v>0</v>
      </c>
      <c r="I39" s="87">
        <v>5</v>
      </c>
      <c r="J39" s="12" t="s">
        <v>97</v>
      </c>
      <c r="K39" s="12"/>
      <c r="L39" s="12" t="s">
        <v>322</v>
      </c>
      <c r="M39" s="14" t="b">
        <v>1</v>
      </c>
      <c r="N39" s="14" t="b">
        <v>1</v>
      </c>
      <c r="O39" s="12">
        <v>0</v>
      </c>
      <c r="P39" s="12" t="s">
        <v>180</v>
      </c>
      <c r="Q39" s="12" t="s">
        <v>157</v>
      </c>
      <c r="R39" s="13" t="s">
        <v>72</v>
      </c>
      <c r="S39" s="13" t="s">
        <v>32</v>
      </c>
      <c r="T39" s="12" t="s">
        <v>33</v>
      </c>
      <c r="U39" s="12" t="s">
        <v>33</v>
      </c>
      <c r="V39" s="12" t="s">
        <v>323</v>
      </c>
      <c r="W39" s="12" t="s">
        <v>11</v>
      </c>
      <c r="X39" s="12" t="s">
        <v>74</v>
      </c>
      <c r="Y39" s="17" t="s">
        <v>324</v>
      </c>
    </row>
    <row r="40" spans="1:25" x14ac:dyDescent="0.2">
      <c r="A40" s="6">
        <v>39</v>
      </c>
      <c r="B40" s="7" t="s">
        <v>325</v>
      </c>
      <c r="C40" s="7" t="s">
        <v>326</v>
      </c>
      <c r="D40" s="8" t="s">
        <v>216</v>
      </c>
      <c r="E40" s="7" t="s">
        <v>327</v>
      </c>
      <c r="F40" s="7">
        <v>350</v>
      </c>
      <c r="G40" s="7">
        <v>300</v>
      </c>
      <c r="H40" s="7">
        <v>800</v>
      </c>
      <c r="I40" s="86">
        <v>5</v>
      </c>
      <c r="J40" s="7" t="s">
        <v>328</v>
      </c>
      <c r="K40" s="7"/>
      <c r="L40" s="7"/>
      <c r="M40" s="9" t="b">
        <v>0</v>
      </c>
      <c r="N40" s="9" t="b">
        <v>0</v>
      </c>
      <c r="O40" s="7">
        <v>0</v>
      </c>
      <c r="P40" s="7" t="s">
        <v>122</v>
      </c>
      <c r="Q40" s="7" t="s">
        <v>226</v>
      </c>
      <c r="R40" s="8" t="s">
        <v>130</v>
      </c>
      <c r="S40" s="8" t="s">
        <v>32</v>
      </c>
      <c r="T40" s="7" t="s">
        <v>33</v>
      </c>
      <c r="U40" s="7" t="s">
        <v>33</v>
      </c>
      <c r="V40" s="7" t="s">
        <v>329</v>
      </c>
      <c r="W40" s="7" t="s">
        <v>35</v>
      </c>
      <c r="X40" s="7" t="s">
        <v>141</v>
      </c>
      <c r="Y40" s="18" t="s">
        <v>330</v>
      </c>
    </row>
    <row r="41" spans="1:25" x14ac:dyDescent="0.2">
      <c r="A41" s="11">
        <v>40</v>
      </c>
      <c r="B41" s="12" t="s">
        <v>331</v>
      </c>
      <c r="C41" s="12" t="s">
        <v>332</v>
      </c>
      <c r="D41" s="13" t="s">
        <v>216</v>
      </c>
      <c r="E41" s="12" t="s">
        <v>333</v>
      </c>
      <c r="F41" s="12">
        <v>25</v>
      </c>
      <c r="G41" s="12">
        <v>1</v>
      </c>
      <c r="H41" s="12">
        <v>0</v>
      </c>
      <c r="I41" s="87">
        <v>25</v>
      </c>
      <c r="J41" s="12" t="s">
        <v>97</v>
      </c>
      <c r="K41" s="12"/>
      <c r="L41" s="12" t="s">
        <v>334</v>
      </c>
      <c r="M41" s="14" t="b">
        <v>1</v>
      </c>
      <c r="N41" s="14" t="b">
        <v>1</v>
      </c>
      <c r="O41" s="12">
        <v>0</v>
      </c>
      <c r="P41" s="12" t="s">
        <v>30</v>
      </c>
      <c r="Q41" s="12" t="s">
        <v>335</v>
      </c>
      <c r="R41" s="13" t="s">
        <v>130</v>
      </c>
      <c r="S41" s="13" t="s">
        <v>32</v>
      </c>
      <c r="T41" s="12" t="s">
        <v>33</v>
      </c>
      <c r="U41" s="12" t="s">
        <v>33</v>
      </c>
      <c r="V41" s="12" t="s">
        <v>336</v>
      </c>
      <c r="W41" s="12" t="s">
        <v>11</v>
      </c>
      <c r="X41" s="12" t="s">
        <v>337</v>
      </c>
      <c r="Y41" s="17" t="s">
        <v>338</v>
      </c>
    </row>
    <row r="42" spans="1:25" x14ac:dyDescent="0.2">
      <c r="A42" s="6">
        <v>41</v>
      </c>
      <c r="B42" s="7" t="s">
        <v>339</v>
      </c>
      <c r="C42" s="7" t="s">
        <v>340</v>
      </c>
      <c r="D42" s="8" t="s">
        <v>49</v>
      </c>
      <c r="E42" s="7" t="s">
        <v>341</v>
      </c>
      <c r="F42" s="7">
        <v>75</v>
      </c>
      <c r="G42" s="7">
        <v>2000</v>
      </c>
      <c r="H42" s="7">
        <v>0</v>
      </c>
      <c r="I42" s="86">
        <v>15</v>
      </c>
      <c r="J42" s="7" t="s">
        <v>342</v>
      </c>
      <c r="K42" s="7"/>
      <c r="L42" s="7" t="s">
        <v>343</v>
      </c>
      <c r="M42" s="9" t="b">
        <v>0</v>
      </c>
      <c r="N42" s="9" t="b">
        <v>0</v>
      </c>
      <c r="O42" s="7">
        <v>0</v>
      </c>
      <c r="P42" s="7" t="s">
        <v>122</v>
      </c>
      <c r="Q42" s="7" t="s">
        <v>344</v>
      </c>
      <c r="R42" s="8" t="s">
        <v>52</v>
      </c>
      <c r="S42" s="8" t="s">
        <v>32</v>
      </c>
      <c r="T42" s="7" t="s">
        <v>33</v>
      </c>
      <c r="U42" s="7" t="s">
        <v>33</v>
      </c>
      <c r="V42" s="7" t="s">
        <v>345</v>
      </c>
      <c r="W42" s="7" t="s">
        <v>54</v>
      </c>
      <c r="X42" s="7" t="s">
        <v>168</v>
      </c>
      <c r="Y42" s="18" t="s">
        <v>346</v>
      </c>
    </row>
    <row r="43" spans="1:25" x14ac:dyDescent="0.2">
      <c r="A43" s="11">
        <v>42</v>
      </c>
      <c r="B43" s="12" t="s">
        <v>347</v>
      </c>
      <c r="C43" s="12" t="s">
        <v>348</v>
      </c>
      <c r="D43" s="13" t="s">
        <v>216</v>
      </c>
      <c r="E43" s="12" t="s">
        <v>349</v>
      </c>
      <c r="F43" s="12">
        <v>50</v>
      </c>
      <c r="G43" s="12">
        <v>300</v>
      </c>
      <c r="H43" s="12">
        <v>550</v>
      </c>
      <c r="I43" s="87">
        <v>5</v>
      </c>
      <c r="J43" s="12" t="s">
        <v>350</v>
      </c>
      <c r="K43" s="12"/>
      <c r="L43" s="12" t="s">
        <v>351</v>
      </c>
      <c r="M43" s="14" t="b">
        <v>0</v>
      </c>
      <c r="N43" s="14" t="b">
        <v>0</v>
      </c>
      <c r="O43" s="12">
        <v>0</v>
      </c>
      <c r="P43" s="12" t="s">
        <v>30</v>
      </c>
      <c r="Q43" s="12"/>
      <c r="R43" s="13" t="s">
        <v>72</v>
      </c>
      <c r="S43" s="13" t="s">
        <v>32</v>
      </c>
      <c r="T43" s="12" t="s">
        <v>33</v>
      </c>
      <c r="U43" s="12" t="s">
        <v>33</v>
      </c>
      <c r="V43" s="12" t="s">
        <v>352</v>
      </c>
      <c r="W43" s="12" t="s">
        <v>35</v>
      </c>
      <c r="X43" s="12" t="s">
        <v>82</v>
      </c>
      <c r="Y43" s="17" t="s">
        <v>353</v>
      </c>
    </row>
    <row r="44" spans="1:25" x14ac:dyDescent="0.2">
      <c r="A44" s="6">
        <v>43</v>
      </c>
      <c r="B44" s="7" t="s">
        <v>354</v>
      </c>
      <c r="C44" s="7" t="s">
        <v>355</v>
      </c>
      <c r="D44" s="8" t="s">
        <v>356</v>
      </c>
      <c r="E44" s="7" t="s">
        <v>357</v>
      </c>
      <c r="F44" s="7">
        <v>250</v>
      </c>
      <c r="G44" s="7">
        <v>1</v>
      </c>
      <c r="H44" s="7">
        <v>0</v>
      </c>
      <c r="I44" s="86">
        <v>10</v>
      </c>
      <c r="J44" s="7" t="s">
        <v>97</v>
      </c>
      <c r="K44" s="7" t="s">
        <v>358</v>
      </c>
      <c r="L44" s="7"/>
      <c r="M44" s="9" t="b">
        <v>1</v>
      </c>
      <c r="N44" s="9" t="b">
        <v>1</v>
      </c>
      <c r="O44" s="7">
        <v>0</v>
      </c>
      <c r="P44" s="7" t="s">
        <v>180</v>
      </c>
      <c r="Q44" s="7" t="s">
        <v>309</v>
      </c>
      <c r="R44" s="8" t="s">
        <v>62</v>
      </c>
      <c r="S44" s="8" t="s">
        <v>32</v>
      </c>
      <c r="T44" s="7" t="s">
        <v>33</v>
      </c>
      <c r="U44" s="7" t="s">
        <v>33</v>
      </c>
      <c r="V44" s="7" t="s">
        <v>359</v>
      </c>
      <c r="W44" s="7" t="s">
        <v>360</v>
      </c>
      <c r="X44" s="7" t="s">
        <v>168</v>
      </c>
      <c r="Y44" s="18" t="s">
        <v>361</v>
      </c>
    </row>
    <row r="45" spans="1:25" x14ac:dyDescent="0.2">
      <c r="A45" s="11">
        <v>44</v>
      </c>
      <c r="B45" s="12" t="s">
        <v>362</v>
      </c>
      <c r="C45" s="12" t="s">
        <v>363</v>
      </c>
      <c r="D45" s="13" t="s">
        <v>40</v>
      </c>
      <c r="E45" s="12" t="s">
        <v>364</v>
      </c>
      <c r="F45" s="12">
        <v>25</v>
      </c>
      <c r="G45" s="12">
        <v>300</v>
      </c>
      <c r="H45" s="12">
        <v>0</v>
      </c>
      <c r="I45" s="87">
        <v>5</v>
      </c>
      <c r="J45" s="12" t="s">
        <v>365</v>
      </c>
      <c r="K45" s="12"/>
      <c r="L45" s="12"/>
      <c r="M45" s="14" t="b">
        <v>0</v>
      </c>
      <c r="N45" s="14" t="b">
        <v>0</v>
      </c>
      <c r="O45" s="12">
        <v>75</v>
      </c>
      <c r="P45" s="12" t="s">
        <v>30</v>
      </c>
      <c r="Q45" s="12"/>
      <c r="R45" s="13" t="s">
        <v>366</v>
      </c>
      <c r="S45" s="13" t="s">
        <v>32</v>
      </c>
      <c r="T45" s="12" t="s">
        <v>33</v>
      </c>
      <c r="U45" s="12" t="s">
        <v>33</v>
      </c>
      <c r="V45" s="12" t="s">
        <v>367</v>
      </c>
      <c r="W45" s="12" t="s">
        <v>45</v>
      </c>
      <c r="X45" s="12" t="s">
        <v>74</v>
      </c>
      <c r="Y45" s="17" t="s">
        <v>368</v>
      </c>
    </row>
    <row r="46" spans="1:25" x14ac:dyDescent="0.2">
      <c r="A46" s="6">
        <v>45</v>
      </c>
      <c r="B46" s="7" t="s">
        <v>369</v>
      </c>
      <c r="C46" s="7" t="s">
        <v>370</v>
      </c>
      <c r="D46" s="8" t="s">
        <v>199</v>
      </c>
      <c r="E46" s="7" t="s">
        <v>371</v>
      </c>
      <c r="F46" s="7">
        <v>0</v>
      </c>
      <c r="G46" s="7">
        <v>150</v>
      </c>
      <c r="H46" s="7">
        <v>20</v>
      </c>
      <c r="I46" s="86">
        <v>5</v>
      </c>
      <c r="J46" s="7" t="s">
        <v>372</v>
      </c>
      <c r="K46" s="7"/>
      <c r="L46" s="7" t="s">
        <v>373</v>
      </c>
      <c r="M46" s="9" t="b">
        <v>0</v>
      </c>
      <c r="N46" s="9" t="b">
        <v>0</v>
      </c>
      <c r="O46" s="7">
        <v>0</v>
      </c>
      <c r="P46" s="7" t="s">
        <v>30</v>
      </c>
      <c r="Q46" s="7" t="s">
        <v>374</v>
      </c>
      <c r="R46" s="8" t="s">
        <v>366</v>
      </c>
      <c r="S46" s="8" t="s">
        <v>32</v>
      </c>
      <c r="T46" s="7" t="s">
        <v>33</v>
      </c>
      <c r="U46" s="7" t="s">
        <v>33</v>
      </c>
      <c r="V46" s="7" t="s">
        <v>375</v>
      </c>
      <c r="W46" s="7" t="s">
        <v>111</v>
      </c>
      <c r="X46" s="7" t="s">
        <v>74</v>
      </c>
      <c r="Y46" s="18" t="s">
        <v>376</v>
      </c>
    </row>
    <row r="47" spans="1:25" x14ac:dyDescent="0.2">
      <c r="A47" s="11">
        <v>46</v>
      </c>
      <c r="B47" s="12" t="s">
        <v>377</v>
      </c>
      <c r="C47" s="12" t="s">
        <v>378</v>
      </c>
      <c r="D47" s="13" t="s">
        <v>199</v>
      </c>
      <c r="E47" s="12" t="s">
        <v>379</v>
      </c>
      <c r="F47" s="12">
        <v>125</v>
      </c>
      <c r="G47" s="12">
        <v>300</v>
      </c>
      <c r="H47" s="12">
        <v>40</v>
      </c>
      <c r="I47" s="87">
        <v>5</v>
      </c>
      <c r="J47" s="12" t="s">
        <v>380</v>
      </c>
      <c r="K47" s="12"/>
      <c r="L47" s="12"/>
      <c r="M47" s="14" t="b">
        <v>0</v>
      </c>
      <c r="N47" s="14" t="b">
        <v>0</v>
      </c>
      <c r="O47" s="12">
        <v>0</v>
      </c>
      <c r="P47" s="12" t="s">
        <v>30</v>
      </c>
      <c r="Q47" s="12" t="s">
        <v>226</v>
      </c>
      <c r="R47" s="13" t="s">
        <v>366</v>
      </c>
      <c r="S47" s="13" t="s">
        <v>32</v>
      </c>
      <c r="T47" s="12" t="s">
        <v>33</v>
      </c>
      <c r="U47" s="12" t="s">
        <v>33</v>
      </c>
      <c r="V47" s="12" t="s">
        <v>381</v>
      </c>
      <c r="W47" s="12" t="s">
        <v>111</v>
      </c>
      <c r="X47" s="12" t="s">
        <v>382</v>
      </c>
      <c r="Y47" s="17" t="s">
        <v>383</v>
      </c>
    </row>
    <row r="48" spans="1:25" x14ac:dyDescent="0.2">
      <c r="A48" s="6">
        <v>47</v>
      </c>
      <c r="B48" s="7" t="s">
        <v>384</v>
      </c>
      <c r="C48" s="7" t="s">
        <v>385</v>
      </c>
      <c r="D48" s="8" t="s">
        <v>40</v>
      </c>
      <c r="E48" s="7" t="s">
        <v>386</v>
      </c>
      <c r="F48" s="7">
        <v>50</v>
      </c>
      <c r="G48" s="7">
        <v>50</v>
      </c>
      <c r="H48" s="7">
        <v>40</v>
      </c>
      <c r="I48" s="86">
        <v>20</v>
      </c>
      <c r="J48" s="7" t="s">
        <v>387</v>
      </c>
      <c r="K48" s="7"/>
      <c r="L48" s="7"/>
      <c r="M48" s="9" t="b">
        <v>1</v>
      </c>
      <c r="N48" s="9" t="b">
        <v>0</v>
      </c>
      <c r="O48" s="7">
        <v>300</v>
      </c>
      <c r="P48" s="7" t="s">
        <v>30</v>
      </c>
      <c r="Q48" s="7"/>
      <c r="R48" s="8" t="s">
        <v>158</v>
      </c>
      <c r="S48" s="8" t="s">
        <v>32</v>
      </c>
      <c r="T48" s="7" t="s">
        <v>33</v>
      </c>
      <c r="U48" s="7" t="s">
        <v>33</v>
      </c>
      <c r="V48" s="7" t="s">
        <v>388</v>
      </c>
      <c r="W48" s="7" t="s">
        <v>45</v>
      </c>
      <c r="X48" s="7" t="s">
        <v>168</v>
      </c>
      <c r="Y48" s="18" t="s">
        <v>389</v>
      </c>
    </row>
    <row r="49" spans="1:25" x14ac:dyDescent="0.2">
      <c r="A49" s="11">
        <v>48</v>
      </c>
      <c r="B49" s="12" t="s">
        <v>390</v>
      </c>
      <c r="C49" s="12" t="s">
        <v>391</v>
      </c>
      <c r="D49" s="13" t="s">
        <v>95</v>
      </c>
      <c r="E49" s="12" t="s">
        <v>392</v>
      </c>
      <c r="F49" s="12">
        <v>100</v>
      </c>
      <c r="G49" s="12">
        <v>300</v>
      </c>
      <c r="H49" s="12">
        <v>0</v>
      </c>
      <c r="I49" s="87">
        <v>15</v>
      </c>
      <c r="J49" s="12" t="s">
        <v>393</v>
      </c>
      <c r="K49" s="12"/>
      <c r="L49" s="12" t="s">
        <v>394</v>
      </c>
      <c r="M49" s="14" t="b">
        <v>0</v>
      </c>
      <c r="N49" s="14" t="b">
        <v>0</v>
      </c>
      <c r="O49" s="12">
        <v>0</v>
      </c>
      <c r="P49" s="12" t="s">
        <v>30</v>
      </c>
      <c r="Q49" s="12" t="s">
        <v>157</v>
      </c>
      <c r="R49" s="13" t="s">
        <v>366</v>
      </c>
      <c r="S49" s="13" t="s">
        <v>32</v>
      </c>
      <c r="T49" s="12" t="s">
        <v>33</v>
      </c>
      <c r="U49" s="12" t="s">
        <v>33</v>
      </c>
      <c r="V49" s="12" t="s">
        <v>395</v>
      </c>
      <c r="W49" s="12" t="s">
        <v>11</v>
      </c>
      <c r="X49" s="12" t="s">
        <v>101</v>
      </c>
      <c r="Y49" s="17" t="s">
        <v>396</v>
      </c>
    </row>
    <row r="50" spans="1:25" x14ac:dyDescent="0.2">
      <c r="A50" s="6">
        <v>49</v>
      </c>
      <c r="B50" s="7" t="s">
        <v>397</v>
      </c>
      <c r="C50" s="7" t="s">
        <v>398</v>
      </c>
      <c r="D50" s="8" t="s">
        <v>105</v>
      </c>
      <c r="E50" s="7" t="s">
        <v>399</v>
      </c>
      <c r="F50" s="7">
        <v>150</v>
      </c>
      <c r="G50" s="7">
        <v>300</v>
      </c>
      <c r="H50" s="7">
        <v>15</v>
      </c>
      <c r="I50" s="86">
        <v>5</v>
      </c>
      <c r="J50" s="7" t="s">
        <v>400</v>
      </c>
      <c r="K50" s="7"/>
      <c r="L50" s="7"/>
      <c r="M50" s="9" t="b">
        <v>0</v>
      </c>
      <c r="N50" s="9" t="b">
        <v>0</v>
      </c>
      <c r="O50" s="7">
        <v>0</v>
      </c>
      <c r="P50" s="7" t="s">
        <v>30</v>
      </c>
      <c r="Q50" s="7" t="s">
        <v>226</v>
      </c>
      <c r="R50" s="8" t="s">
        <v>62</v>
      </c>
      <c r="S50" s="8" t="s">
        <v>32</v>
      </c>
      <c r="T50" s="7" t="s">
        <v>33</v>
      </c>
      <c r="U50" s="7" t="s">
        <v>33</v>
      </c>
      <c r="V50" s="7" t="s">
        <v>401</v>
      </c>
      <c r="W50" s="7" t="s">
        <v>111</v>
      </c>
      <c r="X50" s="7" t="s">
        <v>168</v>
      </c>
      <c r="Y50" s="18" t="s">
        <v>402</v>
      </c>
    </row>
    <row r="51" spans="1:25" x14ac:dyDescent="0.2">
      <c r="A51" s="11">
        <v>50</v>
      </c>
      <c r="B51" s="12" t="s">
        <v>403</v>
      </c>
      <c r="C51" s="12" t="s">
        <v>404</v>
      </c>
      <c r="D51" s="13" t="s">
        <v>105</v>
      </c>
      <c r="E51" s="12" t="s">
        <v>405</v>
      </c>
      <c r="F51" s="12">
        <v>50</v>
      </c>
      <c r="G51" s="12">
        <v>1200</v>
      </c>
      <c r="H51" s="12">
        <v>100</v>
      </c>
      <c r="I51" s="87">
        <v>15</v>
      </c>
      <c r="J51" s="12" t="s">
        <v>406</v>
      </c>
      <c r="K51" s="12"/>
      <c r="L51" s="12"/>
      <c r="M51" s="14" t="b">
        <v>0</v>
      </c>
      <c r="N51" s="14" t="b">
        <v>0</v>
      </c>
      <c r="O51" s="12">
        <v>0</v>
      </c>
      <c r="P51" s="12" t="s">
        <v>30</v>
      </c>
      <c r="Q51" s="12" t="s">
        <v>109</v>
      </c>
      <c r="R51" s="13" t="s">
        <v>72</v>
      </c>
      <c r="S51" s="13" t="s">
        <v>32</v>
      </c>
      <c r="T51" s="12" t="s">
        <v>33</v>
      </c>
      <c r="U51" s="12" t="s">
        <v>33</v>
      </c>
      <c r="V51" s="12" t="s">
        <v>407</v>
      </c>
      <c r="W51" s="12" t="s">
        <v>111</v>
      </c>
      <c r="X51" s="12" t="s">
        <v>168</v>
      </c>
      <c r="Y51" s="17" t="s">
        <v>408</v>
      </c>
    </row>
    <row r="52" spans="1:25" x14ac:dyDescent="0.2">
      <c r="A52" s="6">
        <v>51</v>
      </c>
      <c r="B52" s="7" t="s">
        <v>409</v>
      </c>
      <c r="C52" s="7" t="s">
        <v>410</v>
      </c>
      <c r="D52" s="8" t="s">
        <v>356</v>
      </c>
      <c r="E52" s="7" t="s">
        <v>411</v>
      </c>
      <c r="F52" s="7">
        <v>100</v>
      </c>
      <c r="G52" s="7">
        <v>1</v>
      </c>
      <c r="H52" s="7">
        <v>0</v>
      </c>
      <c r="I52" s="86">
        <v>90</v>
      </c>
      <c r="J52" s="7" t="s">
        <v>97</v>
      </c>
      <c r="K52" s="7"/>
      <c r="L52" s="7" t="s">
        <v>412</v>
      </c>
      <c r="M52" s="9" t="b">
        <v>1</v>
      </c>
      <c r="N52" s="9" t="b">
        <v>1</v>
      </c>
      <c r="O52" s="7">
        <v>0</v>
      </c>
      <c r="P52" s="7" t="s">
        <v>180</v>
      </c>
      <c r="Q52" s="7" t="s">
        <v>157</v>
      </c>
      <c r="R52" s="8" t="s">
        <v>72</v>
      </c>
      <c r="S52" s="8" t="s">
        <v>32</v>
      </c>
      <c r="T52" s="7" t="s">
        <v>33</v>
      </c>
      <c r="U52" s="7" t="s">
        <v>33</v>
      </c>
      <c r="V52" s="7" t="s">
        <v>413</v>
      </c>
      <c r="W52" s="7" t="s">
        <v>11</v>
      </c>
      <c r="X52" s="7" t="s">
        <v>168</v>
      </c>
      <c r="Y52" s="18" t="s">
        <v>414</v>
      </c>
    </row>
    <row r="53" spans="1:25" x14ac:dyDescent="0.2">
      <c r="A53" s="11">
        <v>52</v>
      </c>
      <c r="B53" s="12" t="s">
        <v>415</v>
      </c>
      <c r="C53" s="12" t="s">
        <v>416</v>
      </c>
      <c r="D53" s="13" t="s">
        <v>199</v>
      </c>
      <c r="E53" s="12" t="s">
        <v>417</v>
      </c>
      <c r="F53" s="12">
        <v>50</v>
      </c>
      <c r="G53" s="12">
        <v>600</v>
      </c>
      <c r="H53" s="12">
        <v>0</v>
      </c>
      <c r="I53" s="87">
        <v>20</v>
      </c>
      <c r="J53" s="12" t="s">
        <v>418</v>
      </c>
      <c r="K53" s="12"/>
      <c r="L53" s="12"/>
      <c r="M53" s="14" t="b">
        <v>0</v>
      </c>
      <c r="N53" s="14" t="b">
        <v>0</v>
      </c>
      <c r="O53" s="12">
        <v>0</v>
      </c>
      <c r="P53" s="12" t="s">
        <v>30</v>
      </c>
      <c r="Q53" s="12" t="s">
        <v>157</v>
      </c>
      <c r="R53" s="13" t="s">
        <v>270</v>
      </c>
      <c r="S53" s="13" t="s">
        <v>32</v>
      </c>
      <c r="T53" s="12" t="s">
        <v>33</v>
      </c>
      <c r="U53" s="12" t="s">
        <v>33</v>
      </c>
      <c r="V53" s="12" t="s">
        <v>419</v>
      </c>
      <c r="W53" s="12" t="s">
        <v>11</v>
      </c>
      <c r="X53" s="12" t="s">
        <v>64</v>
      </c>
      <c r="Y53" s="17" t="s">
        <v>420</v>
      </c>
    </row>
    <row r="54" spans="1:25" x14ac:dyDescent="0.2">
      <c r="A54" s="6">
        <v>53</v>
      </c>
      <c r="B54" s="7" t="s">
        <v>421</v>
      </c>
      <c r="C54" s="7" t="s">
        <v>422</v>
      </c>
      <c r="D54" s="8" t="s">
        <v>199</v>
      </c>
      <c r="E54" s="7" t="s">
        <v>423</v>
      </c>
      <c r="F54" s="7">
        <v>150</v>
      </c>
      <c r="G54" s="7">
        <v>300</v>
      </c>
      <c r="H54" s="7">
        <v>50</v>
      </c>
      <c r="I54" s="86">
        <v>5</v>
      </c>
      <c r="J54" s="7" t="s">
        <v>424</v>
      </c>
      <c r="K54" s="7"/>
      <c r="L54" s="7"/>
      <c r="M54" s="9" t="b">
        <v>0</v>
      </c>
      <c r="N54" s="9" t="b">
        <v>0</v>
      </c>
      <c r="O54" s="7">
        <v>0</v>
      </c>
      <c r="P54" s="7" t="s">
        <v>122</v>
      </c>
      <c r="Q54" s="7"/>
      <c r="R54" s="8" t="s">
        <v>366</v>
      </c>
      <c r="S54" s="8" t="s">
        <v>32</v>
      </c>
      <c r="T54" s="7" t="s">
        <v>33</v>
      </c>
      <c r="U54" s="7" t="s">
        <v>33</v>
      </c>
      <c r="V54" s="7" t="s">
        <v>425</v>
      </c>
      <c r="W54" s="7" t="s">
        <v>35</v>
      </c>
      <c r="X54" s="7" t="s">
        <v>82</v>
      </c>
      <c r="Y54" s="18" t="s">
        <v>426</v>
      </c>
    </row>
    <row r="55" spans="1:25" x14ac:dyDescent="0.2">
      <c r="A55" s="11">
        <v>54</v>
      </c>
      <c r="B55" s="12" t="s">
        <v>427</v>
      </c>
      <c r="C55" s="12" t="s">
        <v>428</v>
      </c>
      <c r="D55" s="13" t="s">
        <v>356</v>
      </c>
      <c r="E55" s="12" t="s">
        <v>429</v>
      </c>
      <c r="F55" s="12">
        <v>100</v>
      </c>
      <c r="G55" s="12">
        <v>1</v>
      </c>
      <c r="H55" s="12">
        <v>0</v>
      </c>
      <c r="I55" s="87">
        <v>20</v>
      </c>
      <c r="J55" s="12" t="s">
        <v>97</v>
      </c>
      <c r="K55" s="12"/>
      <c r="L55" s="12"/>
      <c r="M55" s="14" t="b">
        <v>1</v>
      </c>
      <c r="N55" s="14" t="b">
        <v>1</v>
      </c>
      <c r="O55" s="12">
        <v>0</v>
      </c>
      <c r="P55" s="12" t="s">
        <v>30</v>
      </c>
      <c r="Q55" s="12"/>
      <c r="R55" s="13" t="s">
        <v>62</v>
      </c>
      <c r="S55" s="13" t="s">
        <v>32</v>
      </c>
      <c r="T55" s="12" t="s">
        <v>33</v>
      </c>
      <c r="U55" s="12" t="s">
        <v>33</v>
      </c>
      <c r="V55" s="12" t="s">
        <v>430</v>
      </c>
      <c r="W55" s="12" t="s">
        <v>360</v>
      </c>
      <c r="X55" s="12" t="s">
        <v>168</v>
      </c>
      <c r="Y55" s="17" t="s">
        <v>431</v>
      </c>
    </row>
    <row r="56" spans="1:25" x14ac:dyDescent="0.2">
      <c r="A56" s="6">
        <v>55</v>
      </c>
      <c r="B56" s="7" t="s">
        <v>432</v>
      </c>
      <c r="C56" s="7" t="s">
        <v>433</v>
      </c>
      <c r="D56" s="8" t="s">
        <v>27</v>
      </c>
      <c r="E56" s="7" t="s">
        <v>434</v>
      </c>
      <c r="F56" s="7">
        <v>175</v>
      </c>
      <c r="G56" s="7">
        <v>300</v>
      </c>
      <c r="H56" s="7">
        <v>50</v>
      </c>
      <c r="I56" s="86">
        <v>5</v>
      </c>
      <c r="J56" s="7" t="s">
        <v>435</v>
      </c>
      <c r="K56" s="7"/>
      <c r="L56" s="7" t="s">
        <v>436</v>
      </c>
      <c r="M56" s="9" t="b">
        <v>0</v>
      </c>
      <c r="N56" s="9" t="b">
        <v>0</v>
      </c>
      <c r="O56" s="7">
        <v>0</v>
      </c>
      <c r="P56" s="7" t="s">
        <v>122</v>
      </c>
      <c r="Q56" s="7" t="s">
        <v>437</v>
      </c>
      <c r="R56" s="8" t="s">
        <v>31</v>
      </c>
      <c r="S56" s="8" t="s">
        <v>32</v>
      </c>
      <c r="T56" s="7" t="s">
        <v>33</v>
      </c>
      <c r="U56" s="7" t="s">
        <v>33</v>
      </c>
      <c r="V56" s="7" t="s">
        <v>438</v>
      </c>
      <c r="W56" s="7" t="s">
        <v>35</v>
      </c>
      <c r="X56" s="7" t="s">
        <v>82</v>
      </c>
      <c r="Y56" s="18" t="s">
        <v>439</v>
      </c>
    </row>
    <row r="57" spans="1:25" x14ac:dyDescent="0.2">
      <c r="A57" s="11">
        <v>56</v>
      </c>
      <c r="B57" s="12" t="s">
        <v>440</v>
      </c>
      <c r="C57" s="12" t="s">
        <v>441</v>
      </c>
      <c r="D57" s="13" t="s">
        <v>49</v>
      </c>
      <c r="E57" s="12" t="s">
        <v>442</v>
      </c>
      <c r="F57" s="12">
        <v>75</v>
      </c>
      <c r="G57" s="12">
        <v>4000</v>
      </c>
      <c r="H57" s="12">
        <v>0</v>
      </c>
      <c r="I57" s="87">
        <v>5</v>
      </c>
      <c r="J57" s="12" t="s">
        <v>443</v>
      </c>
      <c r="K57" s="12"/>
      <c r="L57" s="12"/>
      <c r="M57" s="14" t="b">
        <v>0</v>
      </c>
      <c r="N57" s="14" t="b">
        <v>0</v>
      </c>
      <c r="O57" s="12">
        <v>0</v>
      </c>
      <c r="P57" s="12" t="s">
        <v>122</v>
      </c>
      <c r="Q57" s="12" t="s">
        <v>437</v>
      </c>
      <c r="R57" s="13" t="s">
        <v>52</v>
      </c>
      <c r="S57" s="13" t="s">
        <v>32</v>
      </c>
      <c r="T57" s="12" t="s">
        <v>33</v>
      </c>
      <c r="U57" s="12" t="s">
        <v>33</v>
      </c>
      <c r="V57" s="12" t="s">
        <v>444</v>
      </c>
      <c r="W57" s="12" t="s">
        <v>54</v>
      </c>
      <c r="X57" s="12" t="s">
        <v>82</v>
      </c>
      <c r="Y57" s="17" t="s">
        <v>445</v>
      </c>
    </row>
    <row r="58" spans="1:25" x14ac:dyDescent="0.2">
      <c r="A58" s="6">
        <v>57</v>
      </c>
      <c r="B58" s="7" t="s">
        <v>446</v>
      </c>
      <c r="C58" s="7" t="s">
        <v>447</v>
      </c>
      <c r="D58" s="8" t="s">
        <v>199</v>
      </c>
      <c r="E58" s="7" t="s">
        <v>448</v>
      </c>
      <c r="F58" s="7">
        <v>150</v>
      </c>
      <c r="G58" s="7">
        <v>1</v>
      </c>
      <c r="H58" s="7">
        <v>0</v>
      </c>
      <c r="I58" s="86">
        <v>30</v>
      </c>
      <c r="J58" s="7" t="s">
        <v>97</v>
      </c>
      <c r="K58" s="7" t="s">
        <v>449</v>
      </c>
      <c r="L58" s="7"/>
      <c r="M58" s="9" t="b">
        <v>1</v>
      </c>
      <c r="N58" s="9" t="b">
        <v>1</v>
      </c>
      <c r="O58" s="7">
        <v>0</v>
      </c>
      <c r="P58" s="7" t="s">
        <v>180</v>
      </c>
      <c r="Q58" s="7"/>
      <c r="R58" s="8" t="s">
        <v>366</v>
      </c>
      <c r="S58" s="8" t="s">
        <v>32</v>
      </c>
      <c r="T58" s="7" t="s">
        <v>33</v>
      </c>
      <c r="U58" s="7" t="s">
        <v>33</v>
      </c>
      <c r="V58" s="7" t="s">
        <v>450</v>
      </c>
      <c r="W58" s="7" t="s">
        <v>11</v>
      </c>
      <c r="X58" s="7" t="s">
        <v>168</v>
      </c>
      <c r="Y58" s="18" t="s">
        <v>451</v>
      </c>
    </row>
    <row r="59" spans="1:25" x14ac:dyDescent="0.2">
      <c r="A59" s="11">
        <v>58</v>
      </c>
      <c r="B59" s="12" t="s">
        <v>452</v>
      </c>
      <c r="C59" s="12" t="s">
        <v>453</v>
      </c>
      <c r="D59" s="13" t="s">
        <v>40</v>
      </c>
      <c r="E59" s="12" t="s">
        <v>454</v>
      </c>
      <c r="F59" s="12">
        <v>75</v>
      </c>
      <c r="G59" s="12">
        <v>300</v>
      </c>
      <c r="H59" s="12">
        <v>0</v>
      </c>
      <c r="I59" s="87">
        <v>5</v>
      </c>
      <c r="J59" s="12" t="s">
        <v>455</v>
      </c>
      <c r="K59" s="12"/>
      <c r="L59" s="12"/>
      <c r="M59" s="14" t="b">
        <v>0</v>
      </c>
      <c r="N59" s="14" t="b">
        <v>0</v>
      </c>
      <c r="O59" s="12">
        <v>75</v>
      </c>
      <c r="P59" s="12" t="s">
        <v>122</v>
      </c>
      <c r="Q59" s="12" t="s">
        <v>437</v>
      </c>
      <c r="R59" s="13" t="s">
        <v>43</v>
      </c>
      <c r="S59" s="13" t="s">
        <v>32</v>
      </c>
      <c r="T59" s="12" t="s">
        <v>33</v>
      </c>
      <c r="U59" s="12" t="s">
        <v>33</v>
      </c>
      <c r="V59" s="12" t="s">
        <v>456</v>
      </c>
      <c r="W59" s="12" t="s">
        <v>45</v>
      </c>
      <c r="X59" s="12" t="s">
        <v>82</v>
      </c>
      <c r="Y59" s="17" t="s">
        <v>457</v>
      </c>
    </row>
    <row r="60" spans="1:25" x14ac:dyDescent="0.2">
      <c r="A60" s="6">
        <v>59</v>
      </c>
      <c r="B60" s="7" t="s">
        <v>458</v>
      </c>
      <c r="C60" s="7" t="s">
        <v>459</v>
      </c>
      <c r="D60" s="8" t="s">
        <v>59</v>
      </c>
      <c r="E60" s="7" t="s">
        <v>460</v>
      </c>
      <c r="F60" s="7">
        <v>50</v>
      </c>
      <c r="G60" s="7">
        <v>300</v>
      </c>
      <c r="H60" s="7">
        <v>2400</v>
      </c>
      <c r="I60" s="86">
        <v>25</v>
      </c>
      <c r="J60" s="7" t="s">
        <v>61</v>
      </c>
      <c r="K60" s="7" t="s">
        <v>461</v>
      </c>
      <c r="L60" s="7"/>
      <c r="M60" s="9" t="b">
        <v>1</v>
      </c>
      <c r="N60" s="9" t="b">
        <v>0</v>
      </c>
      <c r="O60" s="7">
        <v>0</v>
      </c>
      <c r="P60" s="7" t="s">
        <v>122</v>
      </c>
      <c r="Q60" s="7" t="s">
        <v>462</v>
      </c>
      <c r="R60" s="8" t="s">
        <v>62</v>
      </c>
      <c r="S60" s="8" t="s">
        <v>32</v>
      </c>
      <c r="T60" s="7" t="s">
        <v>33</v>
      </c>
      <c r="U60" s="7" t="s">
        <v>33</v>
      </c>
      <c r="V60" s="7" t="s">
        <v>463</v>
      </c>
      <c r="W60" s="7" t="s">
        <v>11</v>
      </c>
      <c r="X60" s="7" t="s">
        <v>82</v>
      </c>
      <c r="Y60" s="18" t="s">
        <v>464</v>
      </c>
    </row>
    <row r="61" spans="1:25" x14ac:dyDescent="0.2">
      <c r="A61" s="11">
        <v>60</v>
      </c>
      <c r="B61" s="12" t="s">
        <v>465</v>
      </c>
      <c r="C61" s="12" t="s">
        <v>466</v>
      </c>
      <c r="D61" s="13" t="s">
        <v>95</v>
      </c>
      <c r="E61" s="12" t="s">
        <v>467</v>
      </c>
      <c r="F61" s="12">
        <v>25</v>
      </c>
      <c r="G61" s="12">
        <v>300</v>
      </c>
      <c r="H61" s="12">
        <v>0</v>
      </c>
      <c r="I61" s="87">
        <v>5</v>
      </c>
      <c r="J61" s="12" t="s">
        <v>468</v>
      </c>
      <c r="K61" s="12"/>
      <c r="L61" s="12" t="s">
        <v>469</v>
      </c>
      <c r="M61" s="14" t="b">
        <v>0</v>
      </c>
      <c r="N61" s="14" t="b">
        <v>0</v>
      </c>
      <c r="O61" s="12">
        <v>0</v>
      </c>
      <c r="P61" s="12" t="s">
        <v>122</v>
      </c>
      <c r="Q61" s="12" t="s">
        <v>470</v>
      </c>
      <c r="R61" s="13" t="s">
        <v>72</v>
      </c>
      <c r="S61" s="13" t="s">
        <v>32</v>
      </c>
      <c r="T61" s="12" t="s">
        <v>33</v>
      </c>
      <c r="U61" s="12" t="s">
        <v>33</v>
      </c>
      <c r="V61" s="12" t="s">
        <v>471</v>
      </c>
      <c r="W61" s="12" t="s">
        <v>360</v>
      </c>
      <c r="X61" s="12" t="s">
        <v>74</v>
      </c>
      <c r="Y61" s="17" t="s">
        <v>464</v>
      </c>
    </row>
    <row r="62" spans="1:25" x14ac:dyDescent="0.2">
      <c r="A62" s="6">
        <v>61</v>
      </c>
      <c r="B62" s="7" t="s">
        <v>472</v>
      </c>
      <c r="C62" s="7" t="s">
        <v>473</v>
      </c>
      <c r="D62" s="8" t="s">
        <v>105</v>
      </c>
      <c r="E62" s="7" t="s">
        <v>474</v>
      </c>
      <c r="F62" s="7">
        <v>25</v>
      </c>
      <c r="G62" s="7">
        <v>300</v>
      </c>
      <c r="H62" s="7">
        <v>400</v>
      </c>
      <c r="I62" s="86">
        <v>20</v>
      </c>
      <c r="J62" s="7" t="s">
        <v>475</v>
      </c>
      <c r="K62" s="7"/>
      <c r="L62" s="7"/>
      <c r="M62" s="9" t="b">
        <v>1</v>
      </c>
      <c r="N62" s="9" t="b">
        <v>0</v>
      </c>
      <c r="O62" s="7">
        <v>0</v>
      </c>
      <c r="P62" s="7" t="s">
        <v>122</v>
      </c>
      <c r="Q62" s="7" t="s">
        <v>476</v>
      </c>
      <c r="R62" s="8" t="s">
        <v>72</v>
      </c>
      <c r="S62" s="8" t="s">
        <v>32</v>
      </c>
      <c r="T62" s="7" t="s">
        <v>33</v>
      </c>
      <c r="U62" s="7" t="s">
        <v>33</v>
      </c>
      <c r="V62" s="7" t="s">
        <v>477</v>
      </c>
      <c r="W62" s="7" t="s">
        <v>111</v>
      </c>
      <c r="X62" s="7" t="s">
        <v>478</v>
      </c>
      <c r="Y62" s="18" t="s">
        <v>479</v>
      </c>
    </row>
    <row r="63" spans="1:25" x14ac:dyDescent="0.2">
      <c r="A63" s="11">
        <v>62</v>
      </c>
      <c r="B63" s="12" t="s">
        <v>480</v>
      </c>
      <c r="C63" s="12" t="s">
        <v>481</v>
      </c>
      <c r="D63" s="13" t="s">
        <v>27</v>
      </c>
      <c r="E63" s="12" t="s">
        <v>482</v>
      </c>
      <c r="F63" s="12">
        <v>200</v>
      </c>
      <c r="G63" s="12">
        <v>300</v>
      </c>
      <c r="H63" s="12">
        <v>40</v>
      </c>
      <c r="I63" s="87">
        <v>5</v>
      </c>
      <c r="J63" s="12" t="s">
        <v>483</v>
      </c>
      <c r="K63" s="12" t="s">
        <v>484</v>
      </c>
      <c r="L63" s="12"/>
      <c r="M63" s="14" t="b">
        <v>0</v>
      </c>
      <c r="N63" s="14" t="b">
        <v>0</v>
      </c>
      <c r="O63" s="12">
        <v>0</v>
      </c>
      <c r="P63" s="12" t="s">
        <v>122</v>
      </c>
      <c r="Q63" s="12"/>
      <c r="R63" s="13" t="s">
        <v>62</v>
      </c>
      <c r="S63" s="13" t="s">
        <v>32</v>
      </c>
      <c r="T63" s="12" t="s">
        <v>33</v>
      </c>
      <c r="U63" s="12">
        <v>180</v>
      </c>
      <c r="V63" s="12" t="s">
        <v>485</v>
      </c>
      <c r="W63" s="12" t="s">
        <v>35</v>
      </c>
      <c r="X63" s="12" t="s">
        <v>168</v>
      </c>
      <c r="Y63" s="17" t="s">
        <v>486</v>
      </c>
    </row>
    <row r="64" spans="1:25" x14ac:dyDescent="0.2">
      <c r="A64" s="6">
        <v>63</v>
      </c>
      <c r="B64" s="7" t="s">
        <v>487</v>
      </c>
      <c r="C64" s="7" t="s">
        <v>488</v>
      </c>
      <c r="D64" s="8" t="s">
        <v>105</v>
      </c>
      <c r="E64" s="7" t="s">
        <v>489</v>
      </c>
      <c r="F64" s="7">
        <v>125</v>
      </c>
      <c r="G64" s="7">
        <v>300</v>
      </c>
      <c r="H64" s="7">
        <v>20</v>
      </c>
      <c r="I64" s="86">
        <v>5</v>
      </c>
      <c r="J64" s="7" t="s">
        <v>490</v>
      </c>
      <c r="K64" s="7" t="s">
        <v>491</v>
      </c>
      <c r="L64" s="7" t="s">
        <v>492</v>
      </c>
      <c r="M64" s="9" t="b">
        <v>0</v>
      </c>
      <c r="N64" s="9" t="b">
        <v>0</v>
      </c>
      <c r="O64" s="7">
        <v>0</v>
      </c>
      <c r="P64" s="7" t="s">
        <v>30</v>
      </c>
      <c r="Q64" s="7" t="s">
        <v>476</v>
      </c>
      <c r="R64" s="8" t="s">
        <v>130</v>
      </c>
      <c r="S64" s="8" t="s">
        <v>32</v>
      </c>
      <c r="T64" s="7" t="s">
        <v>33</v>
      </c>
      <c r="U64" s="7">
        <v>150</v>
      </c>
      <c r="V64" s="7" t="s">
        <v>493</v>
      </c>
      <c r="W64" s="7" t="s">
        <v>35</v>
      </c>
      <c r="X64" s="7" t="s">
        <v>82</v>
      </c>
      <c r="Y64" s="18" t="s">
        <v>494</v>
      </c>
    </row>
    <row r="65" spans="1:25" x14ac:dyDescent="0.2">
      <c r="A65" s="11">
        <v>64</v>
      </c>
      <c r="B65" s="12" t="s">
        <v>495</v>
      </c>
      <c r="C65" s="12" t="s">
        <v>496</v>
      </c>
      <c r="D65" s="13" t="s">
        <v>68</v>
      </c>
      <c r="E65" s="12" t="s">
        <v>497</v>
      </c>
      <c r="F65" s="12">
        <v>500</v>
      </c>
      <c r="G65" s="12">
        <v>300</v>
      </c>
      <c r="H65" s="12">
        <v>1200</v>
      </c>
      <c r="I65" s="87">
        <v>5</v>
      </c>
      <c r="J65" s="12" t="s">
        <v>498</v>
      </c>
      <c r="K65" s="12" t="s">
        <v>499</v>
      </c>
      <c r="L65" s="12" t="s">
        <v>500</v>
      </c>
      <c r="M65" s="14" t="b">
        <v>0</v>
      </c>
      <c r="N65" s="14" t="b">
        <v>0</v>
      </c>
      <c r="O65" s="12">
        <v>0</v>
      </c>
      <c r="P65" s="12" t="s">
        <v>122</v>
      </c>
      <c r="Q65" s="12" t="s">
        <v>226</v>
      </c>
      <c r="R65" s="13" t="s">
        <v>130</v>
      </c>
      <c r="S65" s="13" t="s">
        <v>32</v>
      </c>
      <c r="T65" s="12" t="s">
        <v>33</v>
      </c>
      <c r="U65" s="12" t="s">
        <v>33</v>
      </c>
      <c r="V65" s="12" t="s">
        <v>501</v>
      </c>
      <c r="W65" s="12" t="s">
        <v>35</v>
      </c>
      <c r="X65" s="12" t="s">
        <v>82</v>
      </c>
      <c r="Y65" s="17" t="s">
        <v>502</v>
      </c>
    </row>
    <row r="66" spans="1:25" x14ac:dyDescent="0.2">
      <c r="A66" s="6">
        <v>65</v>
      </c>
      <c r="B66" s="7" t="s">
        <v>503</v>
      </c>
      <c r="C66" s="7" t="s">
        <v>504</v>
      </c>
      <c r="D66" s="8" t="s">
        <v>505</v>
      </c>
      <c r="E66" s="7" t="s">
        <v>506</v>
      </c>
      <c r="F66" s="7">
        <v>50</v>
      </c>
      <c r="G66" s="7">
        <v>300</v>
      </c>
      <c r="H66" s="7">
        <v>0</v>
      </c>
      <c r="I66" s="86">
        <v>10</v>
      </c>
      <c r="J66" s="7" t="s">
        <v>507</v>
      </c>
      <c r="K66" s="7" t="s">
        <v>508</v>
      </c>
      <c r="L66" s="7"/>
      <c r="M66" s="9" t="b">
        <v>0</v>
      </c>
      <c r="N66" s="9" t="b">
        <v>0</v>
      </c>
      <c r="O66" s="7">
        <v>75</v>
      </c>
      <c r="P66" s="7" t="s">
        <v>30</v>
      </c>
      <c r="Q66" s="7"/>
      <c r="R66" s="8" t="s">
        <v>43</v>
      </c>
      <c r="S66" s="8" t="s">
        <v>32</v>
      </c>
      <c r="T66" s="7" t="s">
        <v>33</v>
      </c>
      <c r="U66" s="7" t="s">
        <v>33</v>
      </c>
      <c r="V66" s="7" t="s">
        <v>509</v>
      </c>
      <c r="W66" s="7" t="s">
        <v>360</v>
      </c>
      <c r="X66" s="7" t="s">
        <v>168</v>
      </c>
      <c r="Y66" s="18" t="s">
        <v>510</v>
      </c>
    </row>
    <row r="67" spans="1:25" x14ac:dyDescent="0.2">
      <c r="A67" s="11">
        <v>66</v>
      </c>
      <c r="B67" s="12" t="s">
        <v>511</v>
      </c>
      <c r="C67" s="12" t="s">
        <v>512</v>
      </c>
      <c r="D67" s="13" t="s">
        <v>505</v>
      </c>
      <c r="E67" s="12" t="s">
        <v>513</v>
      </c>
      <c r="F67" s="12">
        <v>75</v>
      </c>
      <c r="G67" s="12">
        <v>300</v>
      </c>
      <c r="H67" s="12">
        <v>100</v>
      </c>
      <c r="I67" s="87">
        <v>5</v>
      </c>
      <c r="J67" s="12" t="s">
        <v>514</v>
      </c>
      <c r="K67" s="12"/>
      <c r="L67" s="12" t="s">
        <v>515</v>
      </c>
      <c r="M67" s="14" t="b">
        <v>0</v>
      </c>
      <c r="N67" s="14" t="b">
        <v>0</v>
      </c>
      <c r="O67" s="12">
        <v>0</v>
      </c>
      <c r="P67" s="12" t="s">
        <v>30</v>
      </c>
      <c r="Q67" s="12"/>
      <c r="R67" s="13" t="s">
        <v>43</v>
      </c>
      <c r="S67" s="13" t="s">
        <v>32</v>
      </c>
      <c r="T67" s="12" t="s">
        <v>33</v>
      </c>
      <c r="U67" s="12" t="s">
        <v>33</v>
      </c>
      <c r="V67" s="12" t="s">
        <v>516</v>
      </c>
      <c r="W67" s="12" t="s">
        <v>35</v>
      </c>
      <c r="X67" s="12" t="s">
        <v>168</v>
      </c>
      <c r="Y67" s="17" t="s">
        <v>517</v>
      </c>
    </row>
    <row r="68" spans="1:25" x14ac:dyDescent="0.2">
      <c r="A68" s="6">
        <v>67</v>
      </c>
      <c r="B68" s="7" t="s">
        <v>518</v>
      </c>
      <c r="C68" s="7" t="s">
        <v>519</v>
      </c>
      <c r="D68" s="8" t="s">
        <v>505</v>
      </c>
      <c r="E68" s="7" t="s">
        <v>520</v>
      </c>
      <c r="F68" s="7">
        <v>50</v>
      </c>
      <c r="G68" s="7">
        <v>1</v>
      </c>
      <c r="H68" s="7">
        <v>30</v>
      </c>
      <c r="I68" s="86">
        <v>10</v>
      </c>
      <c r="J68" s="7" t="s">
        <v>521</v>
      </c>
      <c r="K68" s="7"/>
      <c r="L68" s="7" t="s">
        <v>522</v>
      </c>
      <c r="M68" s="9" t="b">
        <v>1</v>
      </c>
      <c r="N68" s="9" t="b">
        <v>0</v>
      </c>
      <c r="O68" s="7">
        <v>0</v>
      </c>
      <c r="P68" s="7" t="s">
        <v>30</v>
      </c>
      <c r="Q68" s="7" t="s">
        <v>523</v>
      </c>
      <c r="R68" s="8" t="s">
        <v>366</v>
      </c>
      <c r="S68" s="8" t="s">
        <v>32</v>
      </c>
      <c r="T68" s="7" t="s">
        <v>33</v>
      </c>
      <c r="U68" s="7" t="s">
        <v>33</v>
      </c>
      <c r="V68" s="7" t="s">
        <v>524</v>
      </c>
      <c r="W68" s="7" t="s">
        <v>11</v>
      </c>
      <c r="X68" s="7" t="s">
        <v>168</v>
      </c>
      <c r="Y68" s="18" t="s">
        <v>525</v>
      </c>
    </row>
    <row r="69" spans="1:25" x14ac:dyDescent="0.2">
      <c r="A69" s="11">
        <v>68</v>
      </c>
      <c r="B69" s="12" t="s">
        <v>526</v>
      </c>
      <c r="C69" s="12" t="s">
        <v>527</v>
      </c>
      <c r="D69" s="13" t="s">
        <v>505</v>
      </c>
      <c r="E69" s="12" t="s">
        <v>528</v>
      </c>
      <c r="F69" s="12">
        <v>150</v>
      </c>
      <c r="G69" s="12">
        <v>300</v>
      </c>
      <c r="H69" s="12">
        <v>30</v>
      </c>
      <c r="I69" s="87">
        <v>10</v>
      </c>
      <c r="J69" s="12" t="s">
        <v>529</v>
      </c>
      <c r="K69" s="12"/>
      <c r="L69" s="12" t="s">
        <v>530</v>
      </c>
      <c r="M69" s="14" t="b">
        <v>0</v>
      </c>
      <c r="N69" s="14" t="b">
        <v>0</v>
      </c>
      <c r="O69" s="12">
        <v>0</v>
      </c>
      <c r="P69" s="12" t="s">
        <v>122</v>
      </c>
      <c r="Q69" s="12" t="s">
        <v>226</v>
      </c>
      <c r="R69" s="13" t="s">
        <v>531</v>
      </c>
      <c r="S69" s="13" t="s">
        <v>32</v>
      </c>
      <c r="T69" s="12" t="s">
        <v>33</v>
      </c>
      <c r="U69" s="12" t="s">
        <v>33</v>
      </c>
      <c r="V69" s="12" t="s">
        <v>532</v>
      </c>
      <c r="W69" s="12" t="s">
        <v>35</v>
      </c>
      <c r="X69" s="12" t="s">
        <v>168</v>
      </c>
      <c r="Y69" s="17" t="s">
        <v>533</v>
      </c>
    </row>
    <row r="70" spans="1:25" x14ac:dyDescent="0.2">
      <c r="A70" s="6">
        <v>69</v>
      </c>
      <c r="B70" s="7" t="s">
        <v>534</v>
      </c>
      <c r="C70" s="7" t="s">
        <v>535</v>
      </c>
      <c r="D70" s="8" t="s">
        <v>505</v>
      </c>
      <c r="E70" s="7" t="s">
        <v>536</v>
      </c>
      <c r="F70" s="7">
        <v>75</v>
      </c>
      <c r="G70" s="7">
        <v>300</v>
      </c>
      <c r="H70" s="7">
        <v>600</v>
      </c>
      <c r="I70" s="86">
        <v>20</v>
      </c>
      <c r="J70" s="7" t="s">
        <v>537</v>
      </c>
      <c r="K70" s="7"/>
      <c r="L70" s="7" t="s">
        <v>538</v>
      </c>
      <c r="M70" s="9" t="b">
        <v>1</v>
      </c>
      <c r="N70" s="9" t="b">
        <v>0</v>
      </c>
      <c r="O70" s="7">
        <v>0</v>
      </c>
      <c r="P70" s="7" t="s">
        <v>30</v>
      </c>
      <c r="Q70" s="7"/>
      <c r="R70" s="8" t="s">
        <v>43</v>
      </c>
      <c r="S70" s="8" t="s">
        <v>32</v>
      </c>
      <c r="T70" s="7" t="s">
        <v>33</v>
      </c>
      <c r="U70" s="7" t="s">
        <v>33</v>
      </c>
      <c r="V70" s="7" t="s">
        <v>539</v>
      </c>
      <c r="W70" s="7" t="s">
        <v>11</v>
      </c>
      <c r="X70" s="7" t="s">
        <v>168</v>
      </c>
      <c r="Y70" s="18" t="s">
        <v>540</v>
      </c>
    </row>
    <row r="71" spans="1:25" x14ac:dyDescent="0.2">
      <c r="A71" s="11">
        <v>70</v>
      </c>
      <c r="B71" s="12" t="s">
        <v>541</v>
      </c>
      <c r="C71" s="12" t="s">
        <v>542</v>
      </c>
      <c r="D71" s="13" t="s">
        <v>86</v>
      </c>
      <c r="E71" s="12" t="s">
        <v>543</v>
      </c>
      <c r="F71" s="12">
        <v>150</v>
      </c>
      <c r="G71" s="12">
        <v>300</v>
      </c>
      <c r="H71" s="12">
        <v>20</v>
      </c>
      <c r="I71" s="87">
        <v>5</v>
      </c>
      <c r="J71" s="12" t="s">
        <v>544</v>
      </c>
      <c r="K71" s="12"/>
      <c r="L71" s="12" t="s">
        <v>545</v>
      </c>
      <c r="M71" s="14" t="b">
        <v>0</v>
      </c>
      <c r="N71" s="14" t="b">
        <v>0</v>
      </c>
      <c r="O71" s="12">
        <v>0</v>
      </c>
      <c r="P71" s="12" t="s">
        <v>180</v>
      </c>
      <c r="Q71" s="12" t="s">
        <v>546</v>
      </c>
      <c r="R71" s="13" t="s">
        <v>31</v>
      </c>
      <c r="S71" s="13" t="s">
        <v>547</v>
      </c>
      <c r="T71" s="12" t="s">
        <v>33</v>
      </c>
      <c r="U71" s="12" t="s">
        <v>33</v>
      </c>
      <c r="V71" s="12" t="s">
        <v>548</v>
      </c>
      <c r="W71" s="12" t="s">
        <v>35</v>
      </c>
      <c r="X71" s="12" t="s">
        <v>55</v>
      </c>
      <c r="Y71" s="17" t="s">
        <v>549</v>
      </c>
    </row>
    <row r="72" spans="1:25" x14ac:dyDescent="0.2">
      <c r="A72" s="6">
        <v>71</v>
      </c>
      <c r="B72" s="7" t="s">
        <v>550</v>
      </c>
      <c r="C72" s="7" t="s">
        <v>551</v>
      </c>
      <c r="D72" s="8" t="s">
        <v>356</v>
      </c>
      <c r="E72" s="7" t="s">
        <v>552</v>
      </c>
      <c r="F72" s="7">
        <v>175</v>
      </c>
      <c r="G72" s="7">
        <v>1</v>
      </c>
      <c r="H72" s="7">
        <v>0</v>
      </c>
      <c r="I72" s="86">
        <v>60</v>
      </c>
      <c r="J72" s="7" t="s">
        <v>97</v>
      </c>
      <c r="K72" s="7"/>
      <c r="L72" s="7" t="s">
        <v>553</v>
      </c>
      <c r="M72" s="9" t="b">
        <v>1</v>
      </c>
      <c r="N72" s="9" t="b">
        <v>1</v>
      </c>
      <c r="O72" s="7">
        <v>0</v>
      </c>
      <c r="P72" s="7" t="s">
        <v>180</v>
      </c>
      <c r="Q72" s="7"/>
      <c r="R72" s="8" t="s">
        <v>43</v>
      </c>
      <c r="S72" s="8" t="s">
        <v>547</v>
      </c>
      <c r="T72" s="7" t="s">
        <v>33</v>
      </c>
      <c r="U72" s="7" t="s">
        <v>33</v>
      </c>
      <c r="V72" s="7" t="s">
        <v>554</v>
      </c>
      <c r="W72" s="7" t="s">
        <v>360</v>
      </c>
      <c r="X72" s="7" t="s">
        <v>168</v>
      </c>
      <c r="Y72" s="18" t="s">
        <v>555</v>
      </c>
    </row>
    <row r="73" spans="1:25" x14ac:dyDescent="0.2">
      <c r="A73" s="11">
        <v>72</v>
      </c>
      <c r="B73" s="12" t="s">
        <v>556</v>
      </c>
      <c r="C73" s="12" t="s">
        <v>557</v>
      </c>
      <c r="D73" s="13" t="s">
        <v>356</v>
      </c>
      <c r="E73" s="12" t="s">
        <v>558</v>
      </c>
      <c r="F73" s="12">
        <v>0</v>
      </c>
      <c r="G73" s="12">
        <v>1</v>
      </c>
      <c r="H73" s="12">
        <v>0</v>
      </c>
      <c r="I73" s="87">
        <v>0</v>
      </c>
      <c r="J73" s="12" t="s">
        <v>559</v>
      </c>
      <c r="K73" s="12"/>
      <c r="L73" s="12"/>
      <c r="M73" s="14" t="b">
        <v>1</v>
      </c>
      <c r="N73" s="14" t="b">
        <v>1</v>
      </c>
      <c r="O73" s="12">
        <v>0</v>
      </c>
      <c r="P73" s="12" t="s">
        <v>180</v>
      </c>
      <c r="Q73" s="12"/>
      <c r="R73" s="13" t="s">
        <v>62</v>
      </c>
      <c r="S73" s="13" t="s">
        <v>547</v>
      </c>
      <c r="T73" s="12" t="s">
        <v>33</v>
      </c>
      <c r="U73" s="12" t="s">
        <v>33</v>
      </c>
      <c r="V73" s="12" t="s">
        <v>560</v>
      </c>
      <c r="W73" s="12" t="s">
        <v>360</v>
      </c>
      <c r="X73" s="12" t="s">
        <v>101</v>
      </c>
      <c r="Y73" s="17" t="s">
        <v>561</v>
      </c>
    </row>
    <row r="74" spans="1:25" x14ac:dyDescent="0.2">
      <c r="A74" s="6">
        <v>73</v>
      </c>
      <c r="B74" s="7" t="s">
        <v>562</v>
      </c>
      <c r="C74" s="7" t="s">
        <v>563</v>
      </c>
      <c r="D74" s="8" t="s">
        <v>105</v>
      </c>
      <c r="E74" s="7" t="s">
        <v>564</v>
      </c>
      <c r="F74" s="7">
        <v>150</v>
      </c>
      <c r="G74" s="7">
        <v>300</v>
      </c>
      <c r="H74" s="7">
        <v>0</v>
      </c>
      <c r="I74" s="86">
        <v>5</v>
      </c>
      <c r="J74" s="7" t="s">
        <v>565</v>
      </c>
      <c r="K74" s="7"/>
      <c r="L74" s="7" t="s">
        <v>566</v>
      </c>
      <c r="M74" s="9" t="b">
        <v>0</v>
      </c>
      <c r="N74" s="9" t="b">
        <v>0</v>
      </c>
      <c r="O74" s="7">
        <v>0</v>
      </c>
      <c r="P74" s="7" t="s">
        <v>122</v>
      </c>
      <c r="Q74" s="7" t="s">
        <v>567</v>
      </c>
      <c r="R74" s="8" t="s">
        <v>43</v>
      </c>
      <c r="S74" s="8" t="s">
        <v>547</v>
      </c>
      <c r="T74" s="7" t="s">
        <v>33</v>
      </c>
      <c r="U74" s="7" t="s">
        <v>33</v>
      </c>
      <c r="V74" s="7" t="s">
        <v>567</v>
      </c>
      <c r="W74" s="7" t="s">
        <v>111</v>
      </c>
      <c r="X74" s="7" t="s">
        <v>64</v>
      </c>
      <c r="Y74" s="18" t="s">
        <v>568</v>
      </c>
    </row>
    <row r="75" spans="1:25" x14ac:dyDescent="0.2">
      <c r="A75" s="11">
        <v>74</v>
      </c>
      <c r="B75" s="12" t="s">
        <v>569</v>
      </c>
      <c r="C75" s="12" t="s">
        <v>570</v>
      </c>
      <c r="D75" s="13" t="s">
        <v>40</v>
      </c>
      <c r="E75" s="12" t="s">
        <v>571</v>
      </c>
      <c r="F75" s="12">
        <v>200</v>
      </c>
      <c r="G75" s="12">
        <v>300</v>
      </c>
      <c r="H75" s="12">
        <v>0</v>
      </c>
      <c r="I75" s="87">
        <v>5</v>
      </c>
      <c r="J75" s="12" t="s">
        <v>572</v>
      </c>
      <c r="K75" s="12"/>
      <c r="L75" s="12"/>
      <c r="M75" s="14" t="b">
        <v>0</v>
      </c>
      <c r="N75" s="14" t="b">
        <v>0</v>
      </c>
      <c r="O75" s="12">
        <v>50</v>
      </c>
      <c r="P75" s="12" t="s">
        <v>180</v>
      </c>
      <c r="Q75" s="12" t="s">
        <v>567</v>
      </c>
      <c r="R75" s="13" t="s">
        <v>366</v>
      </c>
      <c r="S75" s="13" t="s">
        <v>547</v>
      </c>
      <c r="T75" s="12" t="s">
        <v>33</v>
      </c>
      <c r="U75" s="12" t="s">
        <v>33</v>
      </c>
      <c r="V75" s="12" t="s">
        <v>573</v>
      </c>
      <c r="W75" s="12" t="s">
        <v>111</v>
      </c>
      <c r="X75" s="12" t="s">
        <v>82</v>
      </c>
      <c r="Y75" s="17" t="s">
        <v>574</v>
      </c>
    </row>
    <row r="76" spans="1:25" x14ac:dyDescent="0.2">
      <c r="A76" s="6">
        <v>75</v>
      </c>
      <c r="B76" s="7" t="s">
        <v>575</v>
      </c>
      <c r="C76" s="7" t="s">
        <v>576</v>
      </c>
      <c r="D76" s="8" t="s">
        <v>59</v>
      </c>
      <c r="E76" s="7" t="s">
        <v>577</v>
      </c>
      <c r="F76" s="7">
        <v>400</v>
      </c>
      <c r="G76" s="7">
        <v>300</v>
      </c>
      <c r="H76" s="7">
        <v>200</v>
      </c>
      <c r="I76" s="86">
        <v>5</v>
      </c>
      <c r="J76" s="7" t="s">
        <v>578</v>
      </c>
      <c r="K76" s="7"/>
      <c r="L76" s="7"/>
      <c r="M76" s="9" t="b">
        <v>0</v>
      </c>
      <c r="N76" s="9" t="b">
        <v>0</v>
      </c>
      <c r="O76" s="7">
        <v>0</v>
      </c>
      <c r="P76" s="7" t="s">
        <v>180</v>
      </c>
      <c r="Q76" s="7" t="s">
        <v>226</v>
      </c>
      <c r="R76" s="8" t="s">
        <v>187</v>
      </c>
      <c r="S76" s="8" t="s">
        <v>547</v>
      </c>
      <c r="T76" s="7" t="s">
        <v>33</v>
      </c>
      <c r="U76" s="7">
        <v>900</v>
      </c>
      <c r="V76" s="7" t="s">
        <v>579</v>
      </c>
      <c r="W76" s="7" t="s">
        <v>35</v>
      </c>
      <c r="X76" s="7" t="s">
        <v>168</v>
      </c>
      <c r="Y76" s="18" t="s">
        <v>580</v>
      </c>
    </row>
    <row r="77" spans="1:25" x14ac:dyDescent="0.2">
      <c r="A77" s="11">
        <v>76</v>
      </c>
      <c r="B77" s="12" t="s">
        <v>531</v>
      </c>
      <c r="C77" s="12" t="s">
        <v>581</v>
      </c>
      <c r="D77" s="13" t="s">
        <v>78</v>
      </c>
      <c r="E77" s="12" t="s">
        <v>582</v>
      </c>
      <c r="F77" s="12">
        <v>175</v>
      </c>
      <c r="G77" s="12">
        <v>300</v>
      </c>
      <c r="H77" s="12">
        <v>30</v>
      </c>
      <c r="I77" s="87">
        <v>5</v>
      </c>
      <c r="J77" s="12" t="s">
        <v>583</v>
      </c>
      <c r="K77" s="12"/>
      <c r="L77" s="12" t="s">
        <v>584</v>
      </c>
      <c r="M77" s="14" t="b">
        <v>0</v>
      </c>
      <c r="N77" s="14" t="b">
        <v>0</v>
      </c>
      <c r="O77" s="12">
        <v>0</v>
      </c>
      <c r="P77" s="12" t="s">
        <v>122</v>
      </c>
      <c r="Q77" s="12" t="s">
        <v>148</v>
      </c>
      <c r="R77" s="13" t="s">
        <v>531</v>
      </c>
      <c r="S77" s="13" t="s">
        <v>547</v>
      </c>
      <c r="T77" s="12" t="s">
        <v>33</v>
      </c>
      <c r="U77" s="12">
        <v>10</v>
      </c>
      <c r="V77" s="12" t="s">
        <v>585</v>
      </c>
      <c r="W77" s="12" t="s">
        <v>35</v>
      </c>
      <c r="X77" s="12" t="s">
        <v>64</v>
      </c>
      <c r="Y77" s="17" t="s">
        <v>586</v>
      </c>
    </row>
    <row r="78" spans="1:25" x14ac:dyDescent="0.2">
      <c r="A78" s="6">
        <v>77</v>
      </c>
      <c r="B78" s="7" t="s">
        <v>587</v>
      </c>
      <c r="C78" s="7" t="s">
        <v>588</v>
      </c>
      <c r="D78" s="8" t="s">
        <v>216</v>
      </c>
      <c r="E78" s="7" t="s">
        <v>589</v>
      </c>
      <c r="F78" s="7">
        <v>150</v>
      </c>
      <c r="G78" s="7">
        <v>300</v>
      </c>
      <c r="H78" s="7">
        <v>5000</v>
      </c>
      <c r="I78" s="86">
        <v>45</v>
      </c>
      <c r="J78" s="7" t="s">
        <v>590</v>
      </c>
      <c r="K78" s="7"/>
      <c r="L78" s="7"/>
      <c r="M78" s="9" t="b">
        <v>0</v>
      </c>
      <c r="N78" s="9" t="b">
        <v>0</v>
      </c>
      <c r="O78" s="7">
        <v>0</v>
      </c>
      <c r="P78" s="7" t="s">
        <v>180</v>
      </c>
      <c r="Q78" s="7"/>
      <c r="R78" s="8" t="s">
        <v>187</v>
      </c>
      <c r="S78" s="8" t="s">
        <v>547</v>
      </c>
      <c r="T78" s="7" t="s">
        <v>33</v>
      </c>
      <c r="U78" s="7" t="s">
        <v>33</v>
      </c>
      <c r="V78" s="7" t="s">
        <v>591</v>
      </c>
      <c r="W78" s="7" t="s">
        <v>35</v>
      </c>
      <c r="X78" s="7" t="s">
        <v>82</v>
      </c>
      <c r="Y78" s="18" t="s">
        <v>592</v>
      </c>
    </row>
    <row r="79" spans="1:25" x14ac:dyDescent="0.2">
      <c r="A79" s="11">
        <v>78</v>
      </c>
      <c r="B79" s="12" t="s">
        <v>593</v>
      </c>
      <c r="C79" s="12" t="s">
        <v>594</v>
      </c>
      <c r="D79" s="13" t="s">
        <v>135</v>
      </c>
      <c r="E79" s="12" t="s">
        <v>595</v>
      </c>
      <c r="F79" s="12">
        <v>225</v>
      </c>
      <c r="G79" s="12">
        <v>300</v>
      </c>
      <c r="H79" s="12">
        <v>300</v>
      </c>
      <c r="I79" s="87">
        <v>20</v>
      </c>
      <c r="J79" s="12" t="s">
        <v>596</v>
      </c>
      <c r="K79" s="12"/>
      <c r="L79" s="12" t="s">
        <v>597</v>
      </c>
      <c r="M79" s="14" t="b">
        <v>0</v>
      </c>
      <c r="N79" s="14" t="b">
        <v>0</v>
      </c>
      <c r="O79" s="12">
        <v>0</v>
      </c>
      <c r="P79" s="12" t="s">
        <v>180</v>
      </c>
      <c r="Q79" s="12" t="s">
        <v>226</v>
      </c>
      <c r="R79" s="13" t="s">
        <v>270</v>
      </c>
      <c r="S79" s="13" t="s">
        <v>547</v>
      </c>
      <c r="T79" s="12" t="s">
        <v>33</v>
      </c>
      <c r="U79" s="12" t="s">
        <v>33</v>
      </c>
      <c r="V79" s="12" t="s">
        <v>598</v>
      </c>
      <c r="W79" s="12" t="s">
        <v>111</v>
      </c>
      <c r="X79" s="12" t="s">
        <v>82</v>
      </c>
      <c r="Y79" s="17" t="s">
        <v>599</v>
      </c>
    </row>
    <row r="80" spans="1:25" x14ac:dyDescent="0.2">
      <c r="A80" s="6">
        <v>79</v>
      </c>
      <c r="B80" s="7" t="s">
        <v>600</v>
      </c>
      <c r="C80" s="7" t="s">
        <v>601</v>
      </c>
      <c r="D80" s="8" t="s">
        <v>59</v>
      </c>
      <c r="E80" s="7" t="s">
        <v>602</v>
      </c>
      <c r="F80" s="7">
        <v>150</v>
      </c>
      <c r="G80" s="7">
        <v>0</v>
      </c>
      <c r="H80" s="7">
        <v>1800</v>
      </c>
      <c r="I80" s="86">
        <v>35</v>
      </c>
      <c r="J80" s="7" t="s">
        <v>97</v>
      </c>
      <c r="K80" s="7"/>
      <c r="L80" s="7"/>
      <c r="M80" s="9" t="b">
        <v>1</v>
      </c>
      <c r="N80" s="9" t="b">
        <v>1</v>
      </c>
      <c r="O80" s="7">
        <v>0</v>
      </c>
      <c r="P80" s="7" t="s">
        <v>180</v>
      </c>
      <c r="Q80" s="7" t="s">
        <v>603</v>
      </c>
      <c r="R80" s="8" t="s">
        <v>187</v>
      </c>
      <c r="S80" s="8" t="s">
        <v>547</v>
      </c>
      <c r="T80" s="7" t="s">
        <v>33</v>
      </c>
      <c r="U80" s="7" t="s">
        <v>33</v>
      </c>
      <c r="V80" s="7" t="s">
        <v>604</v>
      </c>
      <c r="W80" s="7" t="s">
        <v>11</v>
      </c>
      <c r="X80" s="7" t="s">
        <v>605</v>
      </c>
      <c r="Y80" s="18" t="s">
        <v>606</v>
      </c>
    </row>
    <row r="81" spans="1:25" x14ac:dyDescent="0.2">
      <c r="A81" s="11">
        <v>80</v>
      </c>
      <c r="B81" s="12" t="s">
        <v>607</v>
      </c>
      <c r="C81" s="12" t="s">
        <v>608</v>
      </c>
      <c r="D81" s="13" t="s">
        <v>86</v>
      </c>
      <c r="E81" s="12" t="s">
        <v>609</v>
      </c>
      <c r="F81" s="12">
        <v>150</v>
      </c>
      <c r="G81" s="12">
        <v>300</v>
      </c>
      <c r="H81" s="12">
        <v>30</v>
      </c>
      <c r="I81" s="87">
        <v>5</v>
      </c>
      <c r="J81" s="12" t="s">
        <v>610</v>
      </c>
      <c r="K81" s="12" t="s">
        <v>611</v>
      </c>
      <c r="L81" s="12"/>
      <c r="M81" s="14" t="b">
        <v>0</v>
      </c>
      <c r="N81" s="14" t="b">
        <v>0</v>
      </c>
      <c r="O81" s="12">
        <v>0</v>
      </c>
      <c r="P81" s="12" t="s">
        <v>180</v>
      </c>
      <c r="Q81" s="12" t="s">
        <v>612</v>
      </c>
      <c r="R81" s="13" t="s">
        <v>43</v>
      </c>
      <c r="S81" s="13" t="s">
        <v>547</v>
      </c>
      <c r="T81" s="12" t="s">
        <v>33</v>
      </c>
      <c r="U81" s="12" t="s">
        <v>33</v>
      </c>
      <c r="V81" s="12" t="s">
        <v>613</v>
      </c>
      <c r="W81" s="12" t="s">
        <v>111</v>
      </c>
      <c r="X81" s="12" t="s">
        <v>168</v>
      </c>
      <c r="Y81" s="17" t="s">
        <v>614</v>
      </c>
    </row>
    <row r="82" spans="1:25" x14ac:dyDescent="0.2">
      <c r="A82" s="6">
        <v>81</v>
      </c>
      <c r="B82" s="7" t="s">
        <v>615</v>
      </c>
      <c r="C82" s="7" t="s">
        <v>616</v>
      </c>
      <c r="D82" s="8" t="s">
        <v>59</v>
      </c>
      <c r="E82" s="7" t="s">
        <v>617</v>
      </c>
      <c r="F82" s="7">
        <v>50</v>
      </c>
      <c r="G82" s="7">
        <v>300</v>
      </c>
      <c r="H82" s="7">
        <v>1800</v>
      </c>
      <c r="I82" s="86">
        <v>20</v>
      </c>
      <c r="J82" s="7" t="s">
        <v>618</v>
      </c>
      <c r="K82" s="7" t="s">
        <v>619</v>
      </c>
      <c r="L82" s="7"/>
      <c r="M82" s="9" t="b">
        <v>0</v>
      </c>
      <c r="N82" s="9" t="b">
        <v>0</v>
      </c>
      <c r="O82" s="7">
        <v>0</v>
      </c>
      <c r="P82" s="7" t="s">
        <v>122</v>
      </c>
      <c r="Q82" s="7" t="s">
        <v>157</v>
      </c>
      <c r="R82" s="8" t="s">
        <v>62</v>
      </c>
      <c r="S82" s="8" t="s">
        <v>547</v>
      </c>
      <c r="T82" s="7" t="s">
        <v>33</v>
      </c>
      <c r="U82" s="7" t="s">
        <v>33</v>
      </c>
      <c r="V82" s="7" t="s">
        <v>620</v>
      </c>
      <c r="W82" s="7" t="s">
        <v>11</v>
      </c>
      <c r="X82" s="7" t="s">
        <v>168</v>
      </c>
      <c r="Y82" s="18" t="s">
        <v>621</v>
      </c>
    </row>
    <row r="83" spans="1:25" x14ac:dyDescent="0.2">
      <c r="A83" s="11">
        <v>82</v>
      </c>
      <c r="B83" s="12" t="s">
        <v>622</v>
      </c>
      <c r="C83" s="12" t="s">
        <v>623</v>
      </c>
      <c r="D83" s="13" t="s">
        <v>40</v>
      </c>
      <c r="E83" s="12" t="s">
        <v>624</v>
      </c>
      <c r="F83" s="12">
        <v>0</v>
      </c>
      <c r="G83" s="12">
        <v>1</v>
      </c>
      <c r="H83" s="12">
        <v>0</v>
      </c>
      <c r="I83" s="87">
        <v>75</v>
      </c>
      <c r="J83" s="12" t="s">
        <v>97</v>
      </c>
      <c r="K83" s="12"/>
      <c r="L83" s="12"/>
      <c r="M83" s="14" t="b">
        <v>1</v>
      </c>
      <c r="N83" s="14" t="b">
        <v>1</v>
      </c>
      <c r="O83" s="12">
        <v>375</v>
      </c>
      <c r="P83" s="12" t="s">
        <v>180</v>
      </c>
      <c r="Q83" s="12"/>
      <c r="R83" s="13" t="s">
        <v>72</v>
      </c>
      <c r="S83" s="13" t="s">
        <v>547</v>
      </c>
      <c r="T83" s="12" t="s">
        <v>33</v>
      </c>
      <c r="U83" s="12" t="s">
        <v>33</v>
      </c>
      <c r="V83" s="12" t="s">
        <v>625</v>
      </c>
      <c r="W83" s="12" t="s">
        <v>45</v>
      </c>
      <c r="X83" s="12" t="s">
        <v>168</v>
      </c>
      <c r="Y83" s="17" t="s">
        <v>626</v>
      </c>
    </row>
    <row r="84" spans="1:25" x14ac:dyDescent="0.2">
      <c r="A84" s="6">
        <v>83</v>
      </c>
      <c r="B84" s="7" t="s">
        <v>627</v>
      </c>
      <c r="C84" s="7" t="s">
        <v>628</v>
      </c>
      <c r="D84" s="8" t="s">
        <v>105</v>
      </c>
      <c r="E84" s="7" t="s">
        <v>629</v>
      </c>
      <c r="F84" s="7">
        <v>150</v>
      </c>
      <c r="G84" s="7">
        <v>300</v>
      </c>
      <c r="H84" s="7">
        <v>40</v>
      </c>
      <c r="I84" s="86">
        <v>5</v>
      </c>
      <c r="J84" s="7" t="s">
        <v>630</v>
      </c>
      <c r="K84" s="7"/>
      <c r="L84" s="7" t="s">
        <v>631</v>
      </c>
      <c r="M84" s="9" t="b">
        <v>0</v>
      </c>
      <c r="N84" s="9" t="b">
        <v>0</v>
      </c>
      <c r="O84" s="7">
        <v>0</v>
      </c>
      <c r="P84" s="7" t="s">
        <v>180</v>
      </c>
      <c r="Q84" s="7" t="s">
        <v>632</v>
      </c>
      <c r="R84" s="8" t="s">
        <v>62</v>
      </c>
      <c r="S84" s="8" t="s">
        <v>547</v>
      </c>
      <c r="T84" s="7" t="s">
        <v>33</v>
      </c>
      <c r="U84" s="7" t="s">
        <v>33</v>
      </c>
      <c r="V84" s="7" t="s">
        <v>633</v>
      </c>
      <c r="W84" s="7" t="s">
        <v>111</v>
      </c>
      <c r="X84" s="7" t="s">
        <v>168</v>
      </c>
      <c r="Y84" s="18" t="s">
        <v>634</v>
      </c>
    </row>
    <row r="85" spans="1:25" x14ac:dyDescent="0.2">
      <c r="A85" s="11">
        <v>84</v>
      </c>
      <c r="B85" s="12" t="s">
        <v>635</v>
      </c>
      <c r="C85" s="12" t="s">
        <v>636</v>
      </c>
      <c r="D85" s="13" t="s">
        <v>68</v>
      </c>
      <c r="E85" s="12" t="s">
        <v>637</v>
      </c>
      <c r="F85" s="12">
        <v>250</v>
      </c>
      <c r="G85" s="12">
        <v>300</v>
      </c>
      <c r="H85" s="12">
        <v>30</v>
      </c>
      <c r="I85" s="87">
        <v>8</v>
      </c>
      <c r="J85" s="12" t="s">
        <v>638</v>
      </c>
      <c r="K85" s="12"/>
      <c r="L85" s="12"/>
      <c r="M85" s="14" t="b">
        <v>0</v>
      </c>
      <c r="N85" s="14" t="b">
        <v>0</v>
      </c>
      <c r="O85" s="12">
        <v>0</v>
      </c>
      <c r="P85" s="12" t="s">
        <v>180</v>
      </c>
      <c r="Q85" s="12" t="s">
        <v>269</v>
      </c>
      <c r="R85" s="13" t="s">
        <v>130</v>
      </c>
      <c r="S85" s="13" t="s">
        <v>547</v>
      </c>
      <c r="T85" s="12" t="s">
        <v>33</v>
      </c>
      <c r="U85" s="12" t="s">
        <v>33</v>
      </c>
      <c r="V85" s="12" t="s">
        <v>639</v>
      </c>
      <c r="W85" s="12" t="s">
        <v>35</v>
      </c>
      <c r="X85" s="12" t="s">
        <v>168</v>
      </c>
      <c r="Y85" s="17" t="s">
        <v>640</v>
      </c>
    </row>
    <row r="86" spans="1:25" x14ac:dyDescent="0.2">
      <c r="A86" s="6">
        <v>85</v>
      </c>
      <c r="B86" s="7" t="s">
        <v>641</v>
      </c>
      <c r="C86" s="7" t="s">
        <v>642</v>
      </c>
      <c r="D86" s="8" t="s">
        <v>356</v>
      </c>
      <c r="E86" s="7" t="s">
        <v>643</v>
      </c>
      <c r="F86" s="7">
        <v>200</v>
      </c>
      <c r="G86" s="7">
        <v>300</v>
      </c>
      <c r="H86" s="7">
        <v>1200</v>
      </c>
      <c r="I86" s="86">
        <v>30</v>
      </c>
      <c r="J86" s="7" t="s">
        <v>644</v>
      </c>
      <c r="K86" s="7"/>
      <c r="L86" s="7" t="s">
        <v>645</v>
      </c>
      <c r="M86" s="9" t="b">
        <v>0</v>
      </c>
      <c r="N86" s="9" t="b">
        <v>0</v>
      </c>
      <c r="O86" s="7">
        <v>0</v>
      </c>
      <c r="P86" s="7" t="s">
        <v>180</v>
      </c>
      <c r="Q86" s="7" t="s">
        <v>157</v>
      </c>
      <c r="R86" s="8" t="s">
        <v>72</v>
      </c>
      <c r="S86" s="8" t="s">
        <v>547</v>
      </c>
      <c r="T86" s="7" t="s">
        <v>33</v>
      </c>
      <c r="U86" s="7" t="s">
        <v>33</v>
      </c>
      <c r="V86" s="7" t="s">
        <v>646</v>
      </c>
      <c r="W86" s="7" t="s">
        <v>35</v>
      </c>
      <c r="X86" s="7" t="s">
        <v>82</v>
      </c>
      <c r="Y86" s="18" t="s">
        <v>647</v>
      </c>
    </row>
    <row r="87" spans="1:25" x14ac:dyDescent="0.2">
      <c r="A87" s="11">
        <v>86</v>
      </c>
      <c r="B87" s="12" t="s">
        <v>648</v>
      </c>
      <c r="C87" s="12" t="s">
        <v>649</v>
      </c>
      <c r="D87" s="13" t="s">
        <v>105</v>
      </c>
      <c r="E87" s="12" t="s">
        <v>650</v>
      </c>
      <c r="F87" s="12">
        <v>150</v>
      </c>
      <c r="G87" s="12">
        <v>300</v>
      </c>
      <c r="H87" s="12">
        <v>80</v>
      </c>
      <c r="I87" s="87">
        <v>5</v>
      </c>
      <c r="J87" s="12" t="s">
        <v>651</v>
      </c>
      <c r="K87" s="12"/>
      <c r="L87" s="12"/>
      <c r="M87" s="14" t="b">
        <v>0</v>
      </c>
      <c r="N87" s="14" t="b">
        <v>0</v>
      </c>
      <c r="O87" s="12">
        <v>0</v>
      </c>
      <c r="P87" s="12" t="s">
        <v>122</v>
      </c>
      <c r="Q87" s="12"/>
      <c r="R87" s="13" t="s">
        <v>62</v>
      </c>
      <c r="S87" s="13" t="s">
        <v>547</v>
      </c>
      <c r="T87" s="12" t="s">
        <v>33</v>
      </c>
      <c r="U87" s="12" t="s">
        <v>33</v>
      </c>
      <c r="V87" s="12" t="s">
        <v>652</v>
      </c>
      <c r="W87" s="12" t="s">
        <v>111</v>
      </c>
      <c r="X87" s="12" t="s">
        <v>168</v>
      </c>
      <c r="Y87" s="17" t="s">
        <v>653</v>
      </c>
    </row>
    <row r="88" spans="1:25" x14ac:dyDescent="0.2">
      <c r="A88" s="6">
        <v>87</v>
      </c>
      <c r="B88" s="7" t="s">
        <v>654</v>
      </c>
      <c r="C88" s="7" t="s">
        <v>655</v>
      </c>
      <c r="D88" s="8" t="s">
        <v>86</v>
      </c>
      <c r="E88" s="7" t="s">
        <v>656</v>
      </c>
      <c r="F88" s="7">
        <v>500</v>
      </c>
      <c r="G88" s="7">
        <v>300</v>
      </c>
      <c r="H88" s="7">
        <v>1200</v>
      </c>
      <c r="I88" s="86">
        <v>5</v>
      </c>
      <c r="J88" s="7" t="s">
        <v>657</v>
      </c>
      <c r="K88" s="7" t="s">
        <v>658</v>
      </c>
      <c r="L88" s="7" t="s">
        <v>500</v>
      </c>
      <c r="M88" s="9" t="b">
        <v>0</v>
      </c>
      <c r="N88" s="9" t="b">
        <v>0</v>
      </c>
      <c r="O88" s="7">
        <v>0</v>
      </c>
      <c r="P88" s="7" t="s">
        <v>122</v>
      </c>
      <c r="Q88" s="7" t="s">
        <v>240</v>
      </c>
      <c r="R88" s="8" t="s">
        <v>72</v>
      </c>
      <c r="S88" s="8" t="s">
        <v>547</v>
      </c>
      <c r="T88" s="7" t="s">
        <v>33</v>
      </c>
      <c r="U88" s="7" t="s">
        <v>33</v>
      </c>
      <c r="V88" s="7" t="s">
        <v>659</v>
      </c>
      <c r="W88" s="7" t="s">
        <v>35</v>
      </c>
      <c r="X88" s="7" t="s">
        <v>168</v>
      </c>
      <c r="Y88" s="18" t="s">
        <v>660</v>
      </c>
    </row>
    <row r="89" spans="1:25" x14ac:dyDescent="0.2">
      <c r="A89" s="11">
        <v>88</v>
      </c>
      <c r="B89" s="12" t="s">
        <v>661</v>
      </c>
      <c r="C89" s="12" t="s">
        <v>662</v>
      </c>
      <c r="D89" s="13" t="s">
        <v>356</v>
      </c>
      <c r="E89" s="12" t="s">
        <v>663</v>
      </c>
      <c r="F89" s="12">
        <v>250</v>
      </c>
      <c r="G89" s="12">
        <v>300</v>
      </c>
      <c r="H89" s="12">
        <v>0</v>
      </c>
      <c r="I89" s="87">
        <v>45</v>
      </c>
      <c r="J89" s="12" t="s">
        <v>664</v>
      </c>
      <c r="K89" s="12"/>
      <c r="L89" s="12" t="s">
        <v>665</v>
      </c>
      <c r="M89" s="14" t="b">
        <v>0</v>
      </c>
      <c r="N89" s="14" t="b">
        <v>0</v>
      </c>
      <c r="O89" s="12">
        <v>0</v>
      </c>
      <c r="P89" s="12" t="s">
        <v>666</v>
      </c>
      <c r="Q89" s="12" t="s">
        <v>277</v>
      </c>
      <c r="R89" s="13" t="s">
        <v>72</v>
      </c>
      <c r="S89" s="13" t="s">
        <v>547</v>
      </c>
      <c r="T89" s="12" t="s">
        <v>33</v>
      </c>
      <c r="U89" s="12" t="s">
        <v>33</v>
      </c>
      <c r="V89" s="12" t="s">
        <v>667</v>
      </c>
      <c r="W89" s="12" t="s">
        <v>35</v>
      </c>
      <c r="X89" s="12" t="s">
        <v>168</v>
      </c>
      <c r="Y89" s="17" t="s">
        <v>668</v>
      </c>
    </row>
    <row r="90" spans="1:25" x14ac:dyDescent="0.2">
      <c r="A90" s="6">
        <v>89</v>
      </c>
      <c r="B90" s="7" t="s">
        <v>669</v>
      </c>
      <c r="C90" s="7" t="s">
        <v>670</v>
      </c>
      <c r="D90" s="8" t="s">
        <v>216</v>
      </c>
      <c r="E90" s="7" t="s">
        <v>671</v>
      </c>
      <c r="F90" s="7">
        <v>200</v>
      </c>
      <c r="G90" s="7">
        <v>300</v>
      </c>
      <c r="H90" s="7">
        <v>20</v>
      </c>
      <c r="I90" s="86">
        <v>5</v>
      </c>
      <c r="J90" s="7" t="s">
        <v>672</v>
      </c>
      <c r="K90" s="7"/>
      <c r="L90" s="7"/>
      <c r="M90" s="9" t="b">
        <v>0</v>
      </c>
      <c r="N90" s="9" t="b">
        <v>0</v>
      </c>
      <c r="O90" s="7">
        <v>0</v>
      </c>
      <c r="P90" s="7" t="s">
        <v>268</v>
      </c>
      <c r="Q90" s="7" t="s">
        <v>219</v>
      </c>
      <c r="R90" s="8" t="s">
        <v>31</v>
      </c>
      <c r="S90" s="8" t="s">
        <v>547</v>
      </c>
      <c r="T90" s="7" t="s">
        <v>33</v>
      </c>
      <c r="U90" s="7" t="s">
        <v>33</v>
      </c>
      <c r="V90" s="7" t="s">
        <v>673</v>
      </c>
      <c r="W90" s="7" t="s">
        <v>35</v>
      </c>
      <c r="X90" s="7" t="s">
        <v>674</v>
      </c>
      <c r="Y90" s="18" t="s">
        <v>675</v>
      </c>
    </row>
    <row r="91" spans="1:25" x14ac:dyDescent="0.2">
      <c r="A91" s="11">
        <v>90</v>
      </c>
      <c r="B91" s="12" t="s">
        <v>676</v>
      </c>
      <c r="C91" s="12" t="s">
        <v>677</v>
      </c>
      <c r="D91" s="13" t="s">
        <v>49</v>
      </c>
      <c r="E91" s="12" t="s">
        <v>678</v>
      </c>
      <c r="F91" s="12">
        <v>150</v>
      </c>
      <c r="G91" s="12">
        <v>3000</v>
      </c>
      <c r="H91" s="12">
        <v>20</v>
      </c>
      <c r="I91" s="87">
        <v>15</v>
      </c>
      <c r="J91" s="12" t="s">
        <v>679</v>
      </c>
      <c r="K91" s="12" t="s">
        <v>680</v>
      </c>
      <c r="L91" s="12" t="s">
        <v>681</v>
      </c>
      <c r="M91" s="14" t="b">
        <v>0</v>
      </c>
      <c r="N91" s="14" t="b">
        <v>0</v>
      </c>
      <c r="O91" s="12">
        <v>0</v>
      </c>
      <c r="P91" s="12" t="s">
        <v>122</v>
      </c>
      <c r="Q91" s="12" t="s">
        <v>295</v>
      </c>
      <c r="R91" s="13" t="s">
        <v>187</v>
      </c>
      <c r="S91" s="13" t="s">
        <v>547</v>
      </c>
      <c r="T91" s="12">
        <v>2500</v>
      </c>
      <c r="U91" s="12" t="s">
        <v>33</v>
      </c>
      <c r="V91" s="12" t="s">
        <v>682</v>
      </c>
      <c r="W91" s="12" t="s">
        <v>54</v>
      </c>
      <c r="X91" s="12" t="s">
        <v>168</v>
      </c>
      <c r="Y91" s="17" t="s">
        <v>683</v>
      </c>
    </row>
    <row r="92" spans="1:25" x14ac:dyDescent="0.2">
      <c r="A92" s="6">
        <v>91</v>
      </c>
      <c r="B92" s="7" t="s">
        <v>684</v>
      </c>
      <c r="C92" s="7" t="s">
        <v>685</v>
      </c>
      <c r="D92" s="8" t="s">
        <v>105</v>
      </c>
      <c r="E92" s="7" t="s">
        <v>686</v>
      </c>
      <c r="F92" s="7">
        <v>50</v>
      </c>
      <c r="G92" s="7">
        <v>1</v>
      </c>
      <c r="H92" s="7">
        <v>1800</v>
      </c>
      <c r="I92" s="86">
        <v>20</v>
      </c>
      <c r="J92" s="7" t="s">
        <v>687</v>
      </c>
      <c r="K92" s="7" t="s">
        <v>688</v>
      </c>
      <c r="L92" s="7" t="s">
        <v>689</v>
      </c>
      <c r="M92" s="9" t="b">
        <v>1</v>
      </c>
      <c r="N92" s="9" t="b">
        <v>0</v>
      </c>
      <c r="O92" s="7">
        <v>0</v>
      </c>
      <c r="P92" s="7" t="s">
        <v>122</v>
      </c>
      <c r="Q92" s="7" t="s">
        <v>690</v>
      </c>
      <c r="R92" s="8" t="s">
        <v>270</v>
      </c>
      <c r="S92" s="8" t="s">
        <v>691</v>
      </c>
      <c r="T92" s="7" t="s">
        <v>33</v>
      </c>
      <c r="U92" s="7" t="s">
        <v>33</v>
      </c>
      <c r="V92" s="7" t="s">
        <v>692</v>
      </c>
      <c r="W92" s="7" t="s">
        <v>111</v>
      </c>
      <c r="X92" s="7" t="s">
        <v>693</v>
      </c>
      <c r="Y92" s="18" t="s">
        <v>694</v>
      </c>
    </row>
    <row r="93" spans="1:25" x14ac:dyDescent="0.2">
      <c r="A93" s="11">
        <v>92</v>
      </c>
      <c r="B93" s="12" t="s">
        <v>695</v>
      </c>
      <c r="C93" s="12" t="s">
        <v>696</v>
      </c>
      <c r="D93" s="13" t="s">
        <v>135</v>
      </c>
      <c r="E93" s="12" t="s">
        <v>697</v>
      </c>
      <c r="F93" s="12">
        <v>125</v>
      </c>
      <c r="G93" s="12">
        <v>1</v>
      </c>
      <c r="H93" s="12">
        <v>1800</v>
      </c>
      <c r="I93" s="87">
        <v>35</v>
      </c>
      <c r="J93" s="12" t="s">
        <v>97</v>
      </c>
      <c r="K93" s="12"/>
      <c r="L93" s="12"/>
      <c r="M93" s="14" t="b">
        <v>1</v>
      </c>
      <c r="N93" s="14" t="b">
        <v>1</v>
      </c>
      <c r="O93" s="12">
        <v>0</v>
      </c>
      <c r="P93" s="12" t="s">
        <v>122</v>
      </c>
      <c r="Q93" s="12" t="s">
        <v>226</v>
      </c>
      <c r="R93" s="13" t="s">
        <v>698</v>
      </c>
      <c r="S93" s="13" t="s">
        <v>691</v>
      </c>
      <c r="T93" s="12" t="s">
        <v>33</v>
      </c>
      <c r="U93" s="12" t="s">
        <v>33</v>
      </c>
      <c r="V93" s="12" t="s">
        <v>699</v>
      </c>
      <c r="W93" s="12" t="s">
        <v>11</v>
      </c>
      <c r="X93" s="12" t="s">
        <v>478</v>
      </c>
      <c r="Y93" s="17" t="s">
        <v>700</v>
      </c>
    </row>
    <row r="94" spans="1:25" x14ac:dyDescent="0.2">
      <c r="A94" s="6">
        <v>93</v>
      </c>
      <c r="B94" s="7" t="s">
        <v>701</v>
      </c>
      <c r="C94" s="7" t="s">
        <v>702</v>
      </c>
      <c r="D94" s="8" t="s">
        <v>356</v>
      </c>
      <c r="E94" s="7" t="s">
        <v>703</v>
      </c>
      <c r="F94" s="7">
        <v>125</v>
      </c>
      <c r="G94" s="7">
        <v>1</v>
      </c>
      <c r="H94" s="7">
        <v>0</v>
      </c>
      <c r="I94" s="86">
        <v>20</v>
      </c>
      <c r="J94" s="7" t="s">
        <v>704</v>
      </c>
      <c r="K94" s="7"/>
      <c r="L94" s="7"/>
      <c r="M94" s="9" t="b">
        <v>1</v>
      </c>
      <c r="N94" s="9" t="b">
        <v>0</v>
      </c>
      <c r="O94" s="7">
        <v>0</v>
      </c>
      <c r="P94" s="7" t="s">
        <v>122</v>
      </c>
      <c r="Q94" s="7" t="s">
        <v>157</v>
      </c>
      <c r="R94" s="8" t="s">
        <v>366</v>
      </c>
      <c r="S94" s="8" t="s">
        <v>691</v>
      </c>
      <c r="T94" s="7" t="s">
        <v>33</v>
      </c>
      <c r="U94" s="7" t="s">
        <v>33</v>
      </c>
      <c r="V94" s="7" t="s">
        <v>705</v>
      </c>
      <c r="W94" s="7" t="s">
        <v>11</v>
      </c>
      <c r="X94" s="7" t="s">
        <v>706</v>
      </c>
      <c r="Y94" s="18" t="s">
        <v>707</v>
      </c>
    </row>
    <row r="95" spans="1:25" x14ac:dyDescent="0.2">
      <c r="A95" s="11">
        <v>94</v>
      </c>
      <c r="B95" s="12" t="s">
        <v>708</v>
      </c>
      <c r="C95" s="12" t="s">
        <v>709</v>
      </c>
      <c r="D95" s="13" t="s">
        <v>49</v>
      </c>
      <c r="E95" s="12" t="s">
        <v>710</v>
      </c>
      <c r="F95" s="12">
        <v>150</v>
      </c>
      <c r="G95" s="12">
        <v>4000</v>
      </c>
      <c r="H95" s="12">
        <v>20</v>
      </c>
      <c r="I95" s="87">
        <v>15</v>
      </c>
      <c r="J95" s="12" t="s">
        <v>711</v>
      </c>
      <c r="K95" s="12"/>
      <c r="L95" s="12"/>
      <c r="M95" s="14" t="b">
        <v>0</v>
      </c>
      <c r="N95" s="14" t="b">
        <v>0</v>
      </c>
      <c r="O95" s="12">
        <v>0</v>
      </c>
      <c r="P95" s="12" t="s">
        <v>122</v>
      </c>
      <c r="Q95" s="12"/>
      <c r="R95" s="13" t="s">
        <v>52</v>
      </c>
      <c r="S95" s="13" t="s">
        <v>691</v>
      </c>
      <c r="T95" s="12" t="s">
        <v>33</v>
      </c>
      <c r="U95" s="12" t="s">
        <v>33</v>
      </c>
      <c r="V95" s="12" t="s">
        <v>712</v>
      </c>
      <c r="W95" s="12" t="s">
        <v>35</v>
      </c>
      <c r="X95" s="12" t="s">
        <v>82</v>
      </c>
      <c r="Y95" s="17" t="s">
        <v>713</v>
      </c>
    </row>
    <row r="96" spans="1:25" x14ac:dyDescent="0.2">
      <c r="A96" s="6">
        <v>95</v>
      </c>
      <c r="B96" s="7" t="s">
        <v>714</v>
      </c>
      <c r="C96" s="7" t="s">
        <v>715</v>
      </c>
      <c r="D96" s="8" t="s">
        <v>78</v>
      </c>
      <c r="E96" s="7" t="s">
        <v>716</v>
      </c>
      <c r="F96" s="7">
        <v>250</v>
      </c>
      <c r="G96" s="7">
        <v>300</v>
      </c>
      <c r="H96" s="7">
        <v>40</v>
      </c>
      <c r="I96" s="86">
        <v>15</v>
      </c>
      <c r="J96" s="7" t="s">
        <v>717</v>
      </c>
      <c r="K96" s="7"/>
      <c r="L96" s="7"/>
      <c r="M96" s="9" t="b">
        <v>0</v>
      </c>
      <c r="N96" s="9" t="b">
        <v>0</v>
      </c>
      <c r="O96" s="7">
        <v>0</v>
      </c>
      <c r="P96" s="7" t="s">
        <v>122</v>
      </c>
      <c r="Q96" s="7" t="s">
        <v>718</v>
      </c>
      <c r="R96" s="8" t="s">
        <v>531</v>
      </c>
      <c r="S96" s="8" t="s">
        <v>691</v>
      </c>
      <c r="T96" s="7" t="s">
        <v>33</v>
      </c>
      <c r="U96" s="7" t="s">
        <v>33</v>
      </c>
      <c r="V96" s="7" t="s">
        <v>719</v>
      </c>
      <c r="W96" s="7" t="s">
        <v>35</v>
      </c>
      <c r="X96" s="7" t="s">
        <v>168</v>
      </c>
      <c r="Y96" s="18" t="s">
        <v>720</v>
      </c>
    </row>
    <row r="97" spans="1:25" x14ac:dyDescent="0.2">
      <c r="A97" s="11">
        <v>96</v>
      </c>
      <c r="B97" s="12" t="s">
        <v>721</v>
      </c>
      <c r="C97" s="12" t="s">
        <v>722</v>
      </c>
      <c r="D97" s="13" t="s">
        <v>135</v>
      </c>
      <c r="E97" s="12" t="s">
        <v>723</v>
      </c>
      <c r="F97" s="12">
        <v>75</v>
      </c>
      <c r="G97" s="12">
        <v>300</v>
      </c>
      <c r="H97" s="12">
        <v>30</v>
      </c>
      <c r="I97" s="87">
        <v>15</v>
      </c>
      <c r="J97" s="12" t="s">
        <v>724</v>
      </c>
      <c r="K97" s="12"/>
      <c r="L97" s="12"/>
      <c r="M97" s="14" t="b">
        <v>1</v>
      </c>
      <c r="N97" s="14" t="b">
        <v>0</v>
      </c>
      <c r="O97" s="12">
        <v>0</v>
      </c>
      <c r="P97" s="12" t="s">
        <v>268</v>
      </c>
      <c r="Q97" s="19" t="s">
        <v>725</v>
      </c>
      <c r="R97" s="13" t="s">
        <v>698</v>
      </c>
      <c r="S97" s="13" t="s">
        <v>691</v>
      </c>
      <c r="T97" s="12" t="s">
        <v>33</v>
      </c>
      <c r="U97" s="12" t="s">
        <v>33</v>
      </c>
      <c r="V97" s="12" t="s">
        <v>726</v>
      </c>
      <c r="W97" s="12" t="s">
        <v>11</v>
      </c>
      <c r="X97" s="12" t="s">
        <v>168</v>
      </c>
      <c r="Y97" s="17" t="s">
        <v>727</v>
      </c>
    </row>
    <row r="98" spans="1:25" x14ac:dyDescent="0.2">
      <c r="A98" s="6">
        <v>97</v>
      </c>
      <c r="B98" s="7" t="s">
        <v>728</v>
      </c>
      <c r="C98" s="7" t="s">
        <v>729</v>
      </c>
      <c r="D98" s="8" t="s">
        <v>49</v>
      </c>
      <c r="E98" s="7" t="s">
        <v>730</v>
      </c>
      <c r="F98" s="7">
        <v>150</v>
      </c>
      <c r="G98" s="7">
        <v>4000</v>
      </c>
      <c r="H98" s="7">
        <v>0</v>
      </c>
      <c r="I98" s="86">
        <v>20</v>
      </c>
      <c r="J98" s="7" t="s">
        <v>731</v>
      </c>
      <c r="K98" s="7"/>
      <c r="L98" s="7"/>
      <c r="M98" s="9" t="b">
        <v>0</v>
      </c>
      <c r="N98" s="9" t="b">
        <v>0</v>
      </c>
      <c r="O98" s="7">
        <v>0</v>
      </c>
      <c r="P98" s="7" t="s">
        <v>30</v>
      </c>
      <c r="Q98" s="7" t="s">
        <v>157</v>
      </c>
      <c r="R98" s="8" t="s">
        <v>62</v>
      </c>
      <c r="S98" s="8" t="s">
        <v>691</v>
      </c>
      <c r="T98" s="7" t="s">
        <v>33</v>
      </c>
      <c r="U98" s="7" t="s">
        <v>33</v>
      </c>
      <c r="V98" s="7" t="s">
        <v>732</v>
      </c>
      <c r="W98" s="7" t="s">
        <v>54</v>
      </c>
      <c r="X98" s="7" t="s">
        <v>82</v>
      </c>
      <c r="Y98" s="18" t="s">
        <v>733</v>
      </c>
    </row>
    <row r="99" spans="1:25" x14ac:dyDescent="0.2">
      <c r="A99" s="11">
        <v>98</v>
      </c>
      <c r="B99" s="12" t="s">
        <v>734</v>
      </c>
      <c r="C99" s="12" t="s">
        <v>735</v>
      </c>
      <c r="D99" s="13" t="s">
        <v>95</v>
      </c>
      <c r="E99" s="12" t="s">
        <v>736</v>
      </c>
      <c r="F99" s="12">
        <v>75</v>
      </c>
      <c r="G99" s="12">
        <v>300</v>
      </c>
      <c r="H99" s="12">
        <v>0</v>
      </c>
      <c r="I99" s="87">
        <v>5</v>
      </c>
      <c r="J99" s="12" t="s">
        <v>737</v>
      </c>
      <c r="K99" s="12" t="s">
        <v>738</v>
      </c>
      <c r="L99" s="12" t="s">
        <v>739</v>
      </c>
      <c r="M99" s="14" t="b">
        <v>0</v>
      </c>
      <c r="N99" s="14" t="b">
        <v>0</v>
      </c>
      <c r="O99" s="12">
        <v>0</v>
      </c>
      <c r="P99" s="12" t="s">
        <v>122</v>
      </c>
      <c r="Q99" s="12" t="s">
        <v>157</v>
      </c>
      <c r="R99" s="13" t="s">
        <v>740</v>
      </c>
      <c r="S99" s="13" t="s">
        <v>691</v>
      </c>
      <c r="T99" s="12" t="s">
        <v>33</v>
      </c>
      <c r="U99" s="12" t="s">
        <v>33</v>
      </c>
      <c r="V99" s="12" t="s">
        <v>741</v>
      </c>
      <c r="W99" s="12" t="s">
        <v>35</v>
      </c>
      <c r="X99" s="12" t="s">
        <v>82</v>
      </c>
      <c r="Y99" s="17" t="s">
        <v>742</v>
      </c>
    </row>
    <row r="100" spans="1:25" x14ac:dyDescent="0.2">
      <c r="A100" s="6">
        <v>99</v>
      </c>
      <c r="B100" s="7" t="s">
        <v>743</v>
      </c>
      <c r="C100" s="7" t="s">
        <v>744</v>
      </c>
      <c r="D100" s="8" t="s">
        <v>95</v>
      </c>
      <c r="E100" s="7" t="s">
        <v>745</v>
      </c>
      <c r="F100" s="7">
        <v>100</v>
      </c>
      <c r="G100" s="7">
        <v>1</v>
      </c>
      <c r="H100" s="7">
        <v>0</v>
      </c>
      <c r="I100" s="86">
        <v>15</v>
      </c>
      <c r="J100" s="7" t="s">
        <v>97</v>
      </c>
      <c r="K100" s="7"/>
      <c r="L100" s="7" t="s">
        <v>746</v>
      </c>
      <c r="M100" s="9" t="b">
        <v>1</v>
      </c>
      <c r="N100" s="9" t="b">
        <v>1</v>
      </c>
      <c r="O100" s="7">
        <v>0</v>
      </c>
      <c r="P100" s="7" t="s">
        <v>122</v>
      </c>
      <c r="Q100" s="7" t="s">
        <v>747</v>
      </c>
      <c r="R100" s="8" t="s">
        <v>72</v>
      </c>
      <c r="S100" s="8" t="s">
        <v>691</v>
      </c>
      <c r="T100" s="7" t="s">
        <v>33</v>
      </c>
      <c r="U100" s="7" t="s">
        <v>33</v>
      </c>
      <c r="V100" s="7" t="s">
        <v>748</v>
      </c>
      <c r="W100" s="7" t="s">
        <v>11</v>
      </c>
      <c r="X100" s="7" t="s">
        <v>168</v>
      </c>
      <c r="Y100" s="18" t="s">
        <v>749</v>
      </c>
    </row>
    <row r="101" spans="1:25" x14ac:dyDescent="0.2">
      <c r="A101" s="11">
        <v>100</v>
      </c>
      <c r="B101" s="12" t="s">
        <v>750</v>
      </c>
      <c r="C101" s="12" t="s">
        <v>751</v>
      </c>
      <c r="D101" s="13" t="s">
        <v>135</v>
      </c>
      <c r="E101" s="12" t="s">
        <v>752</v>
      </c>
      <c r="F101" s="12">
        <v>175</v>
      </c>
      <c r="G101" s="12">
        <v>300</v>
      </c>
      <c r="H101" s="12">
        <v>40</v>
      </c>
      <c r="I101" s="87">
        <v>5</v>
      </c>
      <c r="J101" s="12" t="s">
        <v>753</v>
      </c>
      <c r="K101" s="12"/>
      <c r="L101" s="12" t="s">
        <v>254</v>
      </c>
      <c r="M101" s="14" t="b">
        <v>0</v>
      </c>
      <c r="N101" s="14" t="b">
        <v>0</v>
      </c>
      <c r="O101" s="12">
        <v>0</v>
      </c>
      <c r="P101" s="12" t="s">
        <v>122</v>
      </c>
      <c r="Q101" s="12"/>
      <c r="R101" s="13" t="s">
        <v>31</v>
      </c>
      <c r="S101" s="13" t="s">
        <v>691</v>
      </c>
      <c r="T101" s="12" t="s">
        <v>33</v>
      </c>
      <c r="U101" s="12" t="s">
        <v>33</v>
      </c>
      <c r="V101" s="12" t="s">
        <v>754</v>
      </c>
      <c r="W101" s="12" t="s">
        <v>35</v>
      </c>
      <c r="X101" s="12" t="s">
        <v>755</v>
      </c>
      <c r="Y101" s="17" t="s">
        <v>756</v>
      </c>
    </row>
    <row r="102" spans="1:25" x14ac:dyDescent="0.2">
      <c r="A102" s="6">
        <v>101</v>
      </c>
      <c r="B102" s="7" t="s">
        <v>757</v>
      </c>
      <c r="C102" s="7" t="s">
        <v>758</v>
      </c>
      <c r="D102" s="8" t="s">
        <v>135</v>
      </c>
      <c r="E102" s="7" t="s">
        <v>759</v>
      </c>
      <c r="F102" s="7">
        <v>75</v>
      </c>
      <c r="G102" s="7">
        <v>300</v>
      </c>
      <c r="H102" s="7">
        <v>200</v>
      </c>
      <c r="I102" s="86">
        <v>15</v>
      </c>
      <c r="J102" s="7" t="s">
        <v>760</v>
      </c>
      <c r="K102" s="7"/>
      <c r="L102" s="7" t="s">
        <v>761</v>
      </c>
      <c r="M102" s="9" t="b">
        <v>1</v>
      </c>
      <c r="N102" s="9" t="b">
        <v>0</v>
      </c>
      <c r="O102" s="7">
        <v>0</v>
      </c>
      <c r="P102" s="7" t="s">
        <v>122</v>
      </c>
      <c r="Q102" s="19" t="s">
        <v>71</v>
      </c>
      <c r="R102" s="8" t="s">
        <v>130</v>
      </c>
      <c r="S102" s="8" t="s">
        <v>691</v>
      </c>
      <c r="T102" s="7" t="s">
        <v>33</v>
      </c>
      <c r="U102" s="7" t="s">
        <v>33</v>
      </c>
      <c r="V102" s="7" t="s">
        <v>762</v>
      </c>
      <c r="W102" s="7" t="s">
        <v>11</v>
      </c>
      <c r="X102" s="7" t="s">
        <v>82</v>
      </c>
      <c r="Y102" s="18" t="s">
        <v>763</v>
      </c>
    </row>
    <row r="103" spans="1:25" x14ac:dyDescent="0.2">
      <c r="A103" s="11">
        <v>102</v>
      </c>
      <c r="B103" s="12" t="s">
        <v>764</v>
      </c>
      <c r="C103" s="12" t="s">
        <v>765</v>
      </c>
      <c r="D103" s="13" t="s">
        <v>356</v>
      </c>
      <c r="E103" s="12" t="s">
        <v>766</v>
      </c>
      <c r="F103" s="12">
        <v>50</v>
      </c>
      <c r="G103" s="12">
        <v>1</v>
      </c>
      <c r="H103" s="12">
        <v>0</v>
      </c>
      <c r="I103" s="87">
        <v>15</v>
      </c>
      <c r="J103" s="12" t="s">
        <v>767</v>
      </c>
      <c r="K103" s="12" t="s">
        <v>768</v>
      </c>
      <c r="L103" s="12" t="s">
        <v>769</v>
      </c>
      <c r="M103" s="14" t="b">
        <v>1</v>
      </c>
      <c r="N103" s="14" t="b">
        <v>0</v>
      </c>
      <c r="O103" s="12">
        <v>0</v>
      </c>
      <c r="P103" s="12" t="s">
        <v>122</v>
      </c>
      <c r="Q103" s="12" t="s">
        <v>157</v>
      </c>
      <c r="R103" s="13" t="s">
        <v>43</v>
      </c>
      <c r="S103" s="13" t="s">
        <v>691</v>
      </c>
      <c r="T103" s="12" t="s">
        <v>33</v>
      </c>
      <c r="U103" s="12" t="s">
        <v>33</v>
      </c>
      <c r="V103" s="12" t="s">
        <v>770</v>
      </c>
      <c r="W103" s="12" t="s">
        <v>11</v>
      </c>
      <c r="X103" s="12" t="s">
        <v>82</v>
      </c>
      <c r="Y103" s="17" t="s">
        <v>771</v>
      </c>
    </row>
    <row r="104" spans="1:25" x14ac:dyDescent="0.2">
      <c r="A104" s="6">
        <v>103</v>
      </c>
      <c r="B104" s="7" t="s">
        <v>772</v>
      </c>
      <c r="C104" s="7" t="s">
        <v>773</v>
      </c>
      <c r="D104" s="8" t="s">
        <v>216</v>
      </c>
      <c r="E104" s="7" t="s">
        <v>774</v>
      </c>
      <c r="F104" s="7">
        <v>150</v>
      </c>
      <c r="G104" s="7">
        <v>200</v>
      </c>
      <c r="H104" s="7">
        <v>48</v>
      </c>
      <c r="I104" s="86">
        <v>10</v>
      </c>
      <c r="J104" s="7" t="s">
        <v>775</v>
      </c>
      <c r="K104" s="7" t="s">
        <v>776</v>
      </c>
      <c r="L104" s="7" t="s">
        <v>777</v>
      </c>
      <c r="M104" s="9" t="b">
        <v>0</v>
      </c>
      <c r="N104" s="9" t="b">
        <v>0</v>
      </c>
      <c r="O104" s="7">
        <v>0</v>
      </c>
      <c r="P104" s="7" t="s">
        <v>30</v>
      </c>
      <c r="Q104" s="7" t="s">
        <v>226</v>
      </c>
      <c r="R104" s="8" t="s">
        <v>187</v>
      </c>
      <c r="S104" s="8" t="s">
        <v>691</v>
      </c>
      <c r="T104" s="7" t="s">
        <v>33</v>
      </c>
      <c r="U104" s="7" t="s">
        <v>33</v>
      </c>
      <c r="V104" s="7" t="s">
        <v>778</v>
      </c>
      <c r="W104" s="7" t="s">
        <v>11</v>
      </c>
      <c r="X104" s="7" t="s">
        <v>168</v>
      </c>
      <c r="Y104" s="18" t="s">
        <v>779</v>
      </c>
    </row>
    <row r="105" spans="1:25" x14ac:dyDescent="0.2">
      <c r="A105" s="11">
        <v>104</v>
      </c>
      <c r="B105" s="12" t="s">
        <v>780</v>
      </c>
      <c r="C105" s="12" t="s">
        <v>781</v>
      </c>
      <c r="D105" s="13" t="s">
        <v>105</v>
      </c>
      <c r="E105" s="12" t="s">
        <v>782</v>
      </c>
      <c r="F105" s="12">
        <v>175</v>
      </c>
      <c r="G105" s="12">
        <v>2000</v>
      </c>
      <c r="H105" s="12">
        <v>40</v>
      </c>
      <c r="I105" s="87">
        <v>15</v>
      </c>
      <c r="J105" s="12" t="s">
        <v>783</v>
      </c>
      <c r="K105" s="12"/>
      <c r="L105" s="12" t="s">
        <v>784</v>
      </c>
      <c r="M105" s="14" t="b">
        <v>0</v>
      </c>
      <c r="N105" s="14" t="b">
        <v>0</v>
      </c>
      <c r="O105" s="12">
        <v>0</v>
      </c>
      <c r="P105" s="12" t="s">
        <v>30</v>
      </c>
      <c r="Q105" s="12" t="s">
        <v>226</v>
      </c>
      <c r="R105" s="13" t="s">
        <v>130</v>
      </c>
      <c r="S105" s="13" t="s">
        <v>691</v>
      </c>
      <c r="T105" s="12" t="s">
        <v>33</v>
      </c>
      <c r="U105" s="12">
        <v>70</v>
      </c>
      <c r="V105" s="12" t="s">
        <v>785</v>
      </c>
      <c r="W105" s="12" t="s">
        <v>111</v>
      </c>
      <c r="X105" s="12" t="s">
        <v>168</v>
      </c>
      <c r="Y105" s="17" t="s">
        <v>786</v>
      </c>
    </row>
    <row r="106" spans="1:25" x14ac:dyDescent="0.2">
      <c r="A106" s="6">
        <v>105</v>
      </c>
      <c r="B106" s="7" t="s">
        <v>787</v>
      </c>
      <c r="C106" s="7" t="s">
        <v>788</v>
      </c>
      <c r="D106" s="8" t="s">
        <v>27</v>
      </c>
      <c r="E106" s="7" t="s">
        <v>789</v>
      </c>
      <c r="F106" s="7">
        <v>175</v>
      </c>
      <c r="G106" s="7">
        <v>2000</v>
      </c>
      <c r="H106" s="7">
        <v>450</v>
      </c>
      <c r="I106" s="86">
        <v>5</v>
      </c>
      <c r="J106" s="7" t="s">
        <v>790</v>
      </c>
      <c r="K106" s="7"/>
      <c r="L106" s="7" t="s">
        <v>791</v>
      </c>
      <c r="M106" s="9" t="b">
        <v>0</v>
      </c>
      <c r="N106" s="9" t="b">
        <v>0</v>
      </c>
      <c r="O106" s="7">
        <v>0</v>
      </c>
      <c r="P106" s="7" t="s">
        <v>180</v>
      </c>
      <c r="Q106" s="7" t="s">
        <v>792</v>
      </c>
      <c r="R106" s="8" t="s">
        <v>740</v>
      </c>
      <c r="S106" s="8" t="s">
        <v>793</v>
      </c>
      <c r="T106" s="7" t="s">
        <v>33</v>
      </c>
      <c r="U106" s="7" t="s">
        <v>33</v>
      </c>
      <c r="V106" s="7" t="s">
        <v>794</v>
      </c>
      <c r="W106" s="7" t="s">
        <v>360</v>
      </c>
      <c r="X106" s="7" t="s">
        <v>795</v>
      </c>
      <c r="Y106" s="18" t="s">
        <v>796</v>
      </c>
    </row>
    <row r="107" spans="1:25" x14ac:dyDescent="0.2">
      <c r="A107" s="11">
        <v>106</v>
      </c>
      <c r="B107" s="12" t="s">
        <v>797</v>
      </c>
      <c r="C107" s="12" t="s">
        <v>798</v>
      </c>
      <c r="D107" s="13" t="s">
        <v>27</v>
      </c>
      <c r="E107" s="12" t="s">
        <v>799</v>
      </c>
      <c r="F107" s="12">
        <v>150</v>
      </c>
      <c r="G107" s="12">
        <v>300</v>
      </c>
      <c r="H107" s="12">
        <v>20</v>
      </c>
      <c r="I107" s="87">
        <v>5</v>
      </c>
      <c r="J107" s="12" t="s">
        <v>800</v>
      </c>
      <c r="K107" s="12"/>
      <c r="L107" s="12"/>
      <c r="M107" s="14" t="b">
        <v>0</v>
      </c>
      <c r="N107" s="14" t="b">
        <v>0</v>
      </c>
      <c r="O107" s="12">
        <v>0</v>
      </c>
      <c r="P107" s="12" t="s">
        <v>122</v>
      </c>
      <c r="Q107" s="12" t="s">
        <v>801</v>
      </c>
      <c r="R107" s="13" t="s">
        <v>130</v>
      </c>
      <c r="S107" s="13" t="s">
        <v>793</v>
      </c>
      <c r="T107" s="12" t="s">
        <v>33</v>
      </c>
      <c r="U107" s="12" t="s">
        <v>33</v>
      </c>
      <c r="V107" s="12" t="s">
        <v>802</v>
      </c>
      <c r="W107" s="12" t="s">
        <v>35</v>
      </c>
      <c r="X107" s="12" t="s">
        <v>101</v>
      </c>
      <c r="Y107" s="17" t="s">
        <v>803</v>
      </c>
    </row>
    <row r="108" spans="1:25" x14ac:dyDescent="0.2">
      <c r="A108" s="6">
        <v>107</v>
      </c>
      <c r="B108" s="7" t="s">
        <v>804</v>
      </c>
      <c r="C108" s="7" t="s">
        <v>805</v>
      </c>
      <c r="D108" s="8" t="s">
        <v>27</v>
      </c>
      <c r="E108" s="7" t="s">
        <v>806</v>
      </c>
      <c r="F108" s="7">
        <v>275</v>
      </c>
      <c r="G108" s="7">
        <v>300</v>
      </c>
      <c r="H108" s="7">
        <v>50</v>
      </c>
      <c r="I108" s="86">
        <v>15</v>
      </c>
      <c r="J108" s="7" t="s">
        <v>807</v>
      </c>
      <c r="K108" s="7" t="s">
        <v>808</v>
      </c>
      <c r="L108" s="7" t="s">
        <v>809</v>
      </c>
      <c r="M108" s="9" t="b">
        <v>0</v>
      </c>
      <c r="N108" s="9" t="b">
        <v>0</v>
      </c>
      <c r="O108" s="7">
        <v>0</v>
      </c>
      <c r="P108" s="7" t="s">
        <v>180</v>
      </c>
      <c r="Q108" s="7"/>
      <c r="R108" s="8" t="s">
        <v>43</v>
      </c>
      <c r="S108" s="8" t="s">
        <v>793</v>
      </c>
      <c r="T108" s="7" t="s">
        <v>33</v>
      </c>
      <c r="U108" s="7" t="s">
        <v>33</v>
      </c>
      <c r="V108" s="7" t="s">
        <v>810</v>
      </c>
      <c r="W108" s="7" t="s">
        <v>35</v>
      </c>
      <c r="X108" s="7" t="s">
        <v>337</v>
      </c>
      <c r="Y108" s="18" t="s">
        <v>811</v>
      </c>
    </row>
    <row r="109" spans="1:25" x14ac:dyDescent="0.2">
      <c r="A109" s="11">
        <v>108</v>
      </c>
      <c r="B109" s="12" t="s">
        <v>812</v>
      </c>
      <c r="C109" s="12" t="s">
        <v>813</v>
      </c>
      <c r="D109" s="13" t="s">
        <v>199</v>
      </c>
      <c r="E109" s="12" t="s">
        <v>814</v>
      </c>
      <c r="F109" s="12">
        <v>150</v>
      </c>
      <c r="G109" s="12">
        <v>300</v>
      </c>
      <c r="H109" s="12">
        <v>40</v>
      </c>
      <c r="I109" s="87">
        <v>5</v>
      </c>
      <c r="J109" s="12" t="s">
        <v>815</v>
      </c>
      <c r="K109" s="12"/>
      <c r="L109" s="12" t="s">
        <v>816</v>
      </c>
      <c r="M109" s="14" t="b">
        <v>0</v>
      </c>
      <c r="N109" s="14" t="b">
        <v>0</v>
      </c>
      <c r="O109" s="12">
        <v>0</v>
      </c>
      <c r="P109" s="12" t="s">
        <v>122</v>
      </c>
      <c r="Q109" s="12"/>
      <c r="R109" s="13" t="s">
        <v>43</v>
      </c>
      <c r="S109" s="13" t="s">
        <v>793</v>
      </c>
      <c r="T109" s="12" t="s">
        <v>33</v>
      </c>
      <c r="U109" s="12" t="s">
        <v>33</v>
      </c>
      <c r="V109" s="12" t="s">
        <v>817</v>
      </c>
      <c r="W109" s="12" t="s">
        <v>35</v>
      </c>
      <c r="X109" s="12" t="s">
        <v>82</v>
      </c>
      <c r="Y109" s="17" t="s">
        <v>818</v>
      </c>
    </row>
    <row r="110" spans="1:25" x14ac:dyDescent="0.2">
      <c r="A110" s="6">
        <v>109</v>
      </c>
      <c r="B110" s="7" t="s">
        <v>819</v>
      </c>
      <c r="C110" s="7" t="s">
        <v>820</v>
      </c>
      <c r="D110" s="8" t="s">
        <v>59</v>
      </c>
      <c r="E110" s="7" t="s">
        <v>821</v>
      </c>
      <c r="F110" s="7">
        <v>50</v>
      </c>
      <c r="G110" s="7">
        <v>3000</v>
      </c>
      <c r="H110" s="7">
        <v>1800</v>
      </c>
      <c r="I110" s="86">
        <v>10</v>
      </c>
      <c r="J110" s="7" t="s">
        <v>822</v>
      </c>
      <c r="K110" s="7"/>
      <c r="L110" s="7"/>
      <c r="M110" s="9" t="b">
        <v>0</v>
      </c>
      <c r="N110" s="9" t="b">
        <v>0</v>
      </c>
      <c r="O110" s="7">
        <v>0</v>
      </c>
      <c r="P110" s="7" t="s">
        <v>180</v>
      </c>
      <c r="Q110" s="7" t="s">
        <v>603</v>
      </c>
      <c r="R110" s="8" t="s">
        <v>52</v>
      </c>
      <c r="S110" s="8" t="s">
        <v>793</v>
      </c>
      <c r="T110" s="7" t="s">
        <v>33</v>
      </c>
      <c r="U110" s="7" t="s">
        <v>33</v>
      </c>
      <c r="V110" s="7" t="s">
        <v>823</v>
      </c>
      <c r="W110" s="7" t="s">
        <v>54</v>
      </c>
      <c r="X110" s="7" t="s">
        <v>82</v>
      </c>
      <c r="Y110" s="18" t="s">
        <v>824</v>
      </c>
    </row>
    <row r="111" spans="1:25" x14ac:dyDescent="0.2">
      <c r="A111" s="11">
        <v>110</v>
      </c>
      <c r="B111" s="12" t="s">
        <v>825</v>
      </c>
      <c r="C111" s="12" t="s">
        <v>825</v>
      </c>
      <c r="D111" s="13" t="s">
        <v>49</v>
      </c>
      <c r="E111" s="12" t="s">
        <v>826</v>
      </c>
      <c r="F111" s="12">
        <v>75</v>
      </c>
      <c r="G111" s="12">
        <v>450</v>
      </c>
      <c r="H111" s="12">
        <v>0</v>
      </c>
      <c r="I111" s="87">
        <v>20</v>
      </c>
      <c r="J111" s="12" t="s">
        <v>827</v>
      </c>
      <c r="K111" s="12"/>
      <c r="L111" s="12"/>
      <c r="M111" s="14" t="b">
        <v>0</v>
      </c>
      <c r="N111" s="14" t="b">
        <v>0</v>
      </c>
      <c r="O111" s="12">
        <v>0</v>
      </c>
      <c r="P111" s="12" t="s">
        <v>30</v>
      </c>
      <c r="Q111" s="12" t="s">
        <v>344</v>
      </c>
      <c r="R111" s="13" t="s">
        <v>72</v>
      </c>
      <c r="S111" s="13" t="s">
        <v>793</v>
      </c>
      <c r="T111" s="12" t="s">
        <v>33</v>
      </c>
      <c r="U111" s="12" t="s">
        <v>33</v>
      </c>
      <c r="V111" s="12" t="s">
        <v>828</v>
      </c>
      <c r="W111" s="12" t="s">
        <v>360</v>
      </c>
      <c r="X111" s="12" t="s">
        <v>168</v>
      </c>
      <c r="Y111" s="17" t="s">
        <v>829</v>
      </c>
    </row>
    <row r="112" spans="1:25" x14ac:dyDescent="0.2">
      <c r="A112" s="6">
        <v>111</v>
      </c>
      <c r="B112" s="7" t="s">
        <v>830</v>
      </c>
      <c r="C112" s="7" t="s">
        <v>831</v>
      </c>
      <c r="D112" s="8" t="s">
        <v>59</v>
      </c>
      <c r="E112" s="7" t="s">
        <v>832</v>
      </c>
      <c r="F112" s="7">
        <v>150</v>
      </c>
      <c r="G112" s="7">
        <v>1</v>
      </c>
      <c r="H112" s="7">
        <v>1800</v>
      </c>
      <c r="I112" s="86">
        <v>35</v>
      </c>
      <c r="J112" s="7" t="s">
        <v>97</v>
      </c>
      <c r="K112" s="7"/>
      <c r="L112" s="7"/>
      <c r="M112" s="9" t="b">
        <v>1</v>
      </c>
      <c r="N112" s="9" t="b">
        <v>1</v>
      </c>
      <c r="O112" s="7">
        <v>0</v>
      </c>
      <c r="P112" s="7" t="s">
        <v>180</v>
      </c>
      <c r="Q112" s="7" t="s">
        <v>833</v>
      </c>
      <c r="R112" s="8" t="s">
        <v>130</v>
      </c>
      <c r="S112" s="8" t="s">
        <v>793</v>
      </c>
      <c r="T112" s="7" t="s">
        <v>33</v>
      </c>
      <c r="U112" s="7">
        <v>200</v>
      </c>
      <c r="V112" s="7" t="s">
        <v>834</v>
      </c>
      <c r="W112" s="7" t="s">
        <v>11</v>
      </c>
      <c r="X112" s="7" t="s">
        <v>835</v>
      </c>
      <c r="Y112" s="18" t="s">
        <v>836</v>
      </c>
    </row>
    <row r="113" spans="1:25" x14ac:dyDescent="0.2">
      <c r="A113" s="11">
        <v>112</v>
      </c>
      <c r="B113" s="12" t="s">
        <v>837</v>
      </c>
      <c r="C113" s="12" t="s">
        <v>838</v>
      </c>
      <c r="D113" s="13" t="s">
        <v>135</v>
      </c>
      <c r="E113" s="12" t="s">
        <v>839</v>
      </c>
      <c r="F113" s="12">
        <v>175</v>
      </c>
      <c r="G113" s="12">
        <v>2000</v>
      </c>
      <c r="H113" s="12">
        <v>1000</v>
      </c>
      <c r="I113" s="87">
        <v>25</v>
      </c>
      <c r="J113" s="12" t="s">
        <v>840</v>
      </c>
      <c r="K113" s="12"/>
      <c r="L113" s="12" t="s">
        <v>841</v>
      </c>
      <c r="M113" s="14" t="b">
        <v>0</v>
      </c>
      <c r="N113" s="14" t="b">
        <v>0</v>
      </c>
      <c r="O113" s="12">
        <v>0</v>
      </c>
      <c r="P113" s="12" t="s">
        <v>180</v>
      </c>
      <c r="Q113" s="12" t="s">
        <v>157</v>
      </c>
      <c r="R113" s="13" t="s">
        <v>130</v>
      </c>
      <c r="S113" s="13" t="s">
        <v>793</v>
      </c>
      <c r="T113" s="12" t="s">
        <v>33</v>
      </c>
      <c r="U113" s="12" t="s">
        <v>33</v>
      </c>
      <c r="V113" s="12" t="s">
        <v>842</v>
      </c>
      <c r="W113" s="12" t="s">
        <v>54</v>
      </c>
      <c r="X113" s="12" t="s">
        <v>82</v>
      </c>
      <c r="Y113" s="17" t="s">
        <v>843</v>
      </c>
    </row>
    <row r="114" spans="1:25" x14ac:dyDescent="0.2">
      <c r="A114" s="6">
        <v>113</v>
      </c>
      <c r="B114" s="7" t="s">
        <v>844</v>
      </c>
      <c r="C114" s="7" t="s">
        <v>845</v>
      </c>
      <c r="D114" s="8" t="s">
        <v>40</v>
      </c>
      <c r="E114" s="7" t="s">
        <v>846</v>
      </c>
      <c r="F114" s="7">
        <v>100</v>
      </c>
      <c r="G114" s="7">
        <v>3000</v>
      </c>
      <c r="H114" s="7">
        <v>0</v>
      </c>
      <c r="I114" s="86">
        <v>25</v>
      </c>
      <c r="J114" s="7" t="s">
        <v>97</v>
      </c>
      <c r="K114" s="7"/>
      <c r="L114" s="7"/>
      <c r="M114" s="9" t="b">
        <v>1</v>
      </c>
      <c r="N114" s="9" t="b">
        <v>1</v>
      </c>
      <c r="O114" s="7">
        <v>50</v>
      </c>
      <c r="P114" s="7" t="s">
        <v>122</v>
      </c>
      <c r="Q114" s="7" t="s">
        <v>847</v>
      </c>
      <c r="R114" s="8" t="s">
        <v>130</v>
      </c>
      <c r="S114" s="8" t="s">
        <v>793</v>
      </c>
      <c r="T114" s="7" t="s">
        <v>33</v>
      </c>
      <c r="U114" s="7" t="s">
        <v>33</v>
      </c>
      <c r="V114" s="7" t="s">
        <v>848</v>
      </c>
      <c r="W114" s="7" t="s">
        <v>45</v>
      </c>
      <c r="X114" s="7" t="s">
        <v>835</v>
      </c>
      <c r="Y114" s="18" t="s">
        <v>849</v>
      </c>
    </row>
    <row r="115" spans="1:25" x14ac:dyDescent="0.2">
      <c r="A115" s="11">
        <v>114</v>
      </c>
      <c r="B115" s="12" t="s">
        <v>850</v>
      </c>
      <c r="C115" s="12" t="s">
        <v>851</v>
      </c>
      <c r="D115" s="13" t="s">
        <v>505</v>
      </c>
      <c r="E115" s="12" t="s">
        <v>852</v>
      </c>
      <c r="F115" s="12">
        <v>125</v>
      </c>
      <c r="G115" s="12">
        <v>300</v>
      </c>
      <c r="H115" s="12">
        <v>70</v>
      </c>
      <c r="I115" s="87">
        <v>5</v>
      </c>
      <c r="J115" s="12" t="s">
        <v>853</v>
      </c>
      <c r="K115" s="12"/>
      <c r="L115" s="12" t="s">
        <v>854</v>
      </c>
      <c r="M115" s="14" t="b">
        <v>0</v>
      </c>
      <c r="N115" s="14" t="b">
        <v>0</v>
      </c>
      <c r="O115" s="12">
        <v>0</v>
      </c>
      <c r="P115" s="12" t="s">
        <v>855</v>
      </c>
      <c r="Q115" s="12"/>
      <c r="R115" s="13" t="s">
        <v>31</v>
      </c>
      <c r="S115" s="13" t="s">
        <v>793</v>
      </c>
      <c r="T115" s="12" t="s">
        <v>33</v>
      </c>
      <c r="U115" s="12" t="s">
        <v>33</v>
      </c>
      <c r="V115" s="12" t="s">
        <v>856</v>
      </c>
      <c r="W115" s="12" t="s">
        <v>35</v>
      </c>
      <c r="X115" s="12" t="s">
        <v>168</v>
      </c>
      <c r="Y115" s="17" t="s">
        <v>857</v>
      </c>
    </row>
    <row r="116" spans="1:25" x14ac:dyDescent="0.2">
      <c r="A116" s="6">
        <v>115</v>
      </c>
      <c r="B116" s="7" t="s">
        <v>858</v>
      </c>
      <c r="C116" s="7" t="s">
        <v>859</v>
      </c>
      <c r="D116" s="8" t="s">
        <v>199</v>
      </c>
      <c r="E116" s="7" t="s">
        <v>860</v>
      </c>
      <c r="F116" s="7">
        <v>125</v>
      </c>
      <c r="G116" s="7">
        <v>300</v>
      </c>
      <c r="H116" s="7">
        <v>30</v>
      </c>
      <c r="I116" s="86">
        <v>5</v>
      </c>
      <c r="J116" s="7" t="s">
        <v>861</v>
      </c>
      <c r="K116" s="7"/>
      <c r="L116" s="7"/>
      <c r="M116" s="9" t="b">
        <v>0</v>
      </c>
      <c r="N116" s="9" t="b">
        <v>0</v>
      </c>
      <c r="O116" s="7">
        <v>0</v>
      </c>
      <c r="P116" s="7" t="s">
        <v>180</v>
      </c>
      <c r="Q116" s="7" t="s">
        <v>203</v>
      </c>
      <c r="R116" s="8" t="s">
        <v>31</v>
      </c>
      <c r="S116" s="8" t="s">
        <v>793</v>
      </c>
      <c r="T116" s="7" t="s">
        <v>33</v>
      </c>
      <c r="U116" s="7" t="s">
        <v>33</v>
      </c>
      <c r="V116" s="7" t="s">
        <v>862</v>
      </c>
      <c r="W116" s="7" t="s">
        <v>35</v>
      </c>
      <c r="X116" s="7" t="s">
        <v>168</v>
      </c>
      <c r="Y116" s="18" t="s">
        <v>863</v>
      </c>
    </row>
    <row r="117" spans="1:25" x14ac:dyDescent="0.2">
      <c r="A117" s="11">
        <v>116</v>
      </c>
      <c r="B117" s="12" t="s">
        <v>864</v>
      </c>
      <c r="C117" s="12" t="s">
        <v>865</v>
      </c>
      <c r="D117" s="13" t="s">
        <v>68</v>
      </c>
      <c r="E117" s="12" t="s">
        <v>866</v>
      </c>
      <c r="F117" s="12">
        <v>125</v>
      </c>
      <c r="G117" s="12">
        <v>300</v>
      </c>
      <c r="H117" s="12">
        <v>20</v>
      </c>
      <c r="I117" s="87">
        <v>5</v>
      </c>
      <c r="J117" s="12" t="s">
        <v>867</v>
      </c>
      <c r="K117" s="12"/>
      <c r="L117" s="12"/>
      <c r="M117" s="14" t="b">
        <v>0</v>
      </c>
      <c r="N117" s="14" t="b">
        <v>0</v>
      </c>
      <c r="O117" s="12">
        <v>0</v>
      </c>
      <c r="P117" s="12" t="s">
        <v>122</v>
      </c>
      <c r="Q117" s="12" t="s">
        <v>226</v>
      </c>
      <c r="R117" s="13" t="s">
        <v>31</v>
      </c>
      <c r="S117" s="13" t="s">
        <v>793</v>
      </c>
      <c r="T117" s="12" t="s">
        <v>33</v>
      </c>
      <c r="U117" s="12" t="s">
        <v>33</v>
      </c>
      <c r="V117" s="12" t="s">
        <v>868</v>
      </c>
      <c r="W117" s="12" t="s">
        <v>35</v>
      </c>
      <c r="X117" s="12" t="s">
        <v>168</v>
      </c>
      <c r="Y117" s="17" t="s">
        <v>869</v>
      </c>
    </row>
    <row r="118" spans="1:25" x14ac:dyDescent="0.2">
      <c r="A118" s="6">
        <v>117</v>
      </c>
      <c r="B118" s="7" t="s">
        <v>870</v>
      </c>
      <c r="C118" s="7" t="s">
        <v>871</v>
      </c>
      <c r="D118" s="8" t="s">
        <v>105</v>
      </c>
      <c r="E118" s="7" t="s">
        <v>872</v>
      </c>
      <c r="F118" s="7">
        <v>200</v>
      </c>
      <c r="G118" s="7">
        <v>300</v>
      </c>
      <c r="H118" s="7">
        <v>400</v>
      </c>
      <c r="I118" s="86">
        <v>5</v>
      </c>
      <c r="J118" s="7" t="s">
        <v>873</v>
      </c>
      <c r="K118" s="7"/>
      <c r="L118" s="7"/>
      <c r="M118" s="9" t="b">
        <v>0</v>
      </c>
      <c r="N118" s="9" t="b">
        <v>0</v>
      </c>
      <c r="O118" s="7">
        <v>0</v>
      </c>
      <c r="P118" s="7" t="s">
        <v>122</v>
      </c>
      <c r="Q118" s="7" t="s">
        <v>567</v>
      </c>
      <c r="R118" s="8" t="s">
        <v>31</v>
      </c>
      <c r="S118" s="8" t="s">
        <v>793</v>
      </c>
      <c r="T118" s="7" t="s">
        <v>33</v>
      </c>
      <c r="U118" s="7">
        <v>30</v>
      </c>
      <c r="V118" s="7" t="s">
        <v>874</v>
      </c>
      <c r="W118" s="7" t="s">
        <v>35</v>
      </c>
      <c r="X118" s="7" t="s">
        <v>168</v>
      </c>
      <c r="Y118" s="18" t="s">
        <v>875</v>
      </c>
    </row>
    <row r="119" spans="1:25" x14ac:dyDescent="0.2">
      <c r="A119" s="11">
        <v>118</v>
      </c>
      <c r="B119" s="12" t="s">
        <v>876</v>
      </c>
      <c r="C119" s="12" t="s">
        <v>877</v>
      </c>
      <c r="D119" s="13" t="s">
        <v>356</v>
      </c>
      <c r="E119" s="12" t="s">
        <v>878</v>
      </c>
      <c r="F119" s="12">
        <v>200</v>
      </c>
      <c r="G119" s="12">
        <v>300</v>
      </c>
      <c r="H119" s="12">
        <v>0</v>
      </c>
      <c r="I119" s="87">
        <v>20</v>
      </c>
      <c r="J119" s="12" t="s">
        <v>879</v>
      </c>
      <c r="K119" s="12"/>
      <c r="L119" s="12"/>
      <c r="M119" s="14" t="b">
        <v>0</v>
      </c>
      <c r="N119" s="14" t="b">
        <v>0</v>
      </c>
      <c r="O119" s="12">
        <v>0</v>
      </c>
      <c r="P119" s="12" t="s">
        <v>268</v>
      </c>
      <c r="Q119" s="12" t="s">
        <v>880</v>
      </c>
      <c r="R119" s="13" t="s">
        <v>270</v>
      </c>
      <c r="S119" s="13" t="s">
        <v>793</v>
      </c>
      <c r="T119" s="12" t="s">
        <v>33</v>
      </c>
      <c r="U119" s="12" t="s">
        <v>33</v>
      </c>
      <c r="V119" s="12" t="s">
        <v>881</v>
      </c>
      <c r="W119" s="12" t="s">
        <v>11</v>
      </c>
      <c r="X119" s="12" t="s">
        <v>168</v>
      </c>
      <c r="Y119" s="17" t="s">
        <v>882</v>
      </c>
    </row>
    <row r="120" spans="1:25" x14ac:dyDescent="0.2">
      <c r="A120" s="6">
        <v>119</v>
      </c>
      <c r="B120" s="7" t="s">
        <v>883</v>
      </c>
      <c r="C120" s="7" t="s">
        <v>884</v>
      </c>
      <c r="D120" s="8" t="s">
        <v>95</v>
      </c>
      <c r="E120" s="7" t="s">
        <v>885</v>
      </c>
      <c r="F120" s="7">
        <v>150</v>
      </c>
      <c r="G120" s="7">
        <v>300</v>
      </c>
      <c r="H120" s="7">
        <v>20</v>
      </c>
      <c r="I120" s="86">
        <v>5</v>
      </c>
      <c r="J120" s="7" t="s">
        <v>886</v>
      </c>
      <c r="K120" s="7"/>
      <c r="L120" s="7"/>
      <c r="M120" s="9" t="b">
        <v>0</v>
      </c>
      <c r="N120" s="9" t="b">
        <v>0</v>
      </c>
      <c r="O120" s="7">
        <v>0</v>
      </c>
      <c r="P120" s="7" t="s">
        <v>122</v>
      </c>
      <c r="Q120" s="7" t="s">
        <v>887</v>
      </c>
      <c r="R120" s="8" t="s">
        <v>43</v>
      </c>
      <c r="S120" s="8" t="s">
        <v>793</v>
      </c>
      <c r="T120" s="7" t="s">
        <v>33</v>
      </c>
      <c r="U120" s="7" t="s">
        <v>33</v>
      </c>
      <c r="V120" s="7" t="s">
        <v>888</v>
      </c>
      <c r="W120" s="7" t="s">
        <v>35</v>
      </c>
      <c r="X120" s="7" t="s">
        <v>168</v>
      </c>
      <c r="Y120" s="18" t="s">
        <v>889</v>
      </c>
    </row>
    <row r="121" spans="1:25" x14ac:dyDescent="0.2">
      <c r="A121" s="11">
        <v>120</v>
      </c>
      <c r="B121" s="12" t="s">
        <v>890</v>
      </c>
      <c r="C121" s="12" t="s">
        <v>891</v>
      </c>
      <c r="D121" s="13" t="s">
        <v>216</v>
      </c>
      <c r="E121" s="12" t="s">
        <v>892</v>
      </c>
      <c r="F121" s="12">
        <v>125</v>
      </c>
      <c r="G121" s="12">
        <v>150</v>
      </c>
      <c r="H121" s="12">
        <v>950</v>
      </c>
      <c r="I121" s="87">
        <v>15</v>
      </c>
      <c r="J121" s="12" t="s">
        <v>893</v>
      </c>
      <c r="K121" s="12"/>
      <c r="L121" s="12"/>
      <c r="M121" s="14" t="b">
        <v>0</v>
      </c>
      <c r="N121" s="14" t="b">
        <v>0</v>
      </c>
      <c r="O121" s="12">
        <v>0</v>
      </c>
      <c r="P121" s="12" t="s">
        <v>122</v>
      </c>
      <c r="Q121" s="12" t="s">
        <v>894</v>
      </c>
      <c r="R121" s="13" t="s">
        <v>72</v>
      </c>
      <c r="S121" s="13" t="s">
        <v>793</v>
      </c>
      <c r="T121" s="12" t="s">
        <v>33</v>
      </c>
      <c r="U121" s="12" t="s">
        <v>33</v>
      </c>
      <c r="V121" s="12" t="s">
        <v>895</v>
      </c>
      <c r="W121" s="12" t="s">
        <v>111</v>
      </c>
      <c r="X121" s="12" t="s">
        <v>168</v>
      </c>
      <c r="Y121" s="17" t="s">
        <v>896</v>
      </c>
    </row>
    <row r="122" spans="1:25" x14ac:dyDescent="0.2">
      <c r="A122" s="6">
        <v>121</v>
      </c>
      <c r="B122" s="7" t="s">
        <v>897</v>
      </c>
      <c r="C122" s="7" t="s">
        <v>898</v>
      </c>
      <c r="D122" s="8" t="s">
        <v>68</v>
      </c>
      <c r="E122" s="7" t="s">
        <v>899</v>
      </c>
      <c r="F122" s="7">
        <v>175</v>
      </c>
      <c r="G122" s="7">
        <v>200</v>
      </c>
      <c r="H122" s="7">
        <v>15</v>
      </c>
      <c r="I122" s="86">
        <v>10</v>
      </c>
      <c r="J122" s="7" t="s">
        <v>900</v>
      </c>
      <c r="K122" s="7"/>
      <c r="L122" s="7"/>
      <c r="M122" s="9" t="b">
        <v>0</v>
      </c>
      <c r="N122" s="9" t="b">
        <v>0</v>
      </c>
      <c r="O122" s="7">
        <v>0</v>
      </c>
      <c r="P122" s="7" t="s">
        <v>122</v>
      </c>
      <c r="Q122" s="7" t="s">
        <v>901</v>
      </c>
      <c r="R122" s="8" t="s">
        <v>187</v>
      </c>
      <c r="S122" s="8" t="s">
        <v>793</v>
      </c>
      <c r="T122" s="7" t="s">
        <v>33</v>
      </c>
      <c r="U122" s="7" t="s">
        <v>33</v>
      </c>
      <c r="V122" s="7" t="s">
        <v>902</v>
      </c>
      <c r="W122" s="7" t="s">
        <v>35</v>
      </c>
      <c r="X122" s="7" t="s">
        <v>835</v>
      </c>
      <c r="Y122" s="18" t="s">
        <v>903</v>
      </c>
    </row>
    <row r="123" spans="1:25" x14ac:dyDescent="0.2">
      <c r="A123" s="11">
        <v>122</v>
      </c>
      <c r="B123" s="12" t="s">
        <v>904</v>
      </c>
      <c r="C123" s="12" t="s">
        <v>905</v>
      </c>
      <c r="D123" s="13" t="s">
        <v>78</v>
      </c>
      <c r="E123" s="12" t="s">
        <v>906</v>
      </c>
      <c r="F123" s="12">
        <v>175</v>
      </c>
      <c r="G123" s="12">
        <v>300</v>
      </c>
      <c r="H123" s="12">
        <v>60</v>
      </c>
      <c r="I123" s="87">
        <v>7</v>
      </c>
      <c r="J123" s="12" t="s">
        <v>907</v>
      </c>
      <c r="K123" s="12"/>
      <c r="L123" s="12"/>
      <c r="M123" s="14" t="b">
        <v>0</v>
      </c>
      <c r="N123" s="14" t="b">
        <v>0</v>
      </c>
      <c r="O123" s="12">
        <v>0</v>
      </c>
      <c r="P123" s="12" t="s">
        <v>666</v>
      </c>
      <c r="Q123" s="12" t="s">
        <v>908</v>
      </c>
      <c r="R123" s="13" t="s">
        <v>270</v>
      </c>
      <c r="S123" s="13" t="s">
        <v>793</v>
      </c>
      <c r="T123" s="12" t="s">
        <v>33</v>
      </c>
      <c r="U123" s="12" t="s">
        <v>33</v>
      </c>
      <c r="V123" s="12" t="s">
        <v>909</v>
      </c>
      <c r="W123" s="12" t="s">
        <v>111</v>
      </c>
      <c r="X123" s="12" t="s">
        <v>168</v>
      </c>
      <c r="Y123" s="15" t="s">
        <v>910</v>
      </c>
    </row>
    <row r="124" spans="1:25" x14ac:dyDescent="0.2">
      <c r="A124" s="6">
        <v>123</v>
      </c>
      <c r="B124" s="7" t="s">
        <v>911</v>
      </c>
      <c r="C124" s="7" t="s">
        <v>912</v>
      </c>
      <c r="D124" s="8" t="s">
        <v>199</v>
      </c>
      <c r="E124" s="7" t="s">
        <v>913</v>
      </c>
      <c r="F124" s="7">
        <v>0</v>
      </c>
      <c r="G124" s="7">
        <v>300</v>
      </c>
      <c r="H124" s="7">
        <v>0</v>
      </c>
      <c r="I124" s="86">
        <v>5</v>
      </c>
      <c r="J124" s="7" t="s">
        <v>914</v>
      </c>
      <c r="K124" s="7"/>
      <c r="L124" s="7"/>
      <c r="M124" s="9" t="b">
        <v>1</v>
      </c>
      <c r="N124" s="9" t="b">
        <v>0</v>
      </c>
      <c r="O124" s="7">
        <v>0</v>
      </c>
      <c r="P124" s="7" t="s">
        <v>268</v>
      </c>
      <c r="Q124" s="7" t="s">
        <v>157</v>
      </c>
      <c r="R124" s="8" t="s">
        <v>130</v>
      </c>
      <c r="S124" s="8" t="s">
        <v>793</v>
      </c>
      <c r="T124" s="7" t="s">
        <v>33</v>
      </c>
      <c r="U124" s="7" t="s">
        <v>33</v>
      </c>
      <c r="V124" s="7" t="s">
        <v>915</v>
      </c>
      <c r="W124" s="7" t="s">
        <v>11</v>
      </c>
      <c r="X124" s="7" t="s">
        <v>168</v>
      </c>
      <c r="Y124" s="18" t="s">
        <v>916</v>
      </c>
    </row>
    <row r="125" spans="1:25" x14ac:dyDescent="0.2">
      <c r="A125" s="11">
        <v>124</v>
      </c>
      <c r="B125" s="12" t="s">
        <v>917</v>
      </c>
      <c r="C125" s="12" t="s">
        <v>918</v>
      </c>
      <c r="D125" s="13" t="s">
        <v>49</v>
      </c>
      <c r="E125" s="12" t="s">
        <v>919</v>
      </c>
      <c r="F125" s="12">
        <v>150</v>
      </c>
      <c r="G125" s="12">
        <v>4000</v>
      </c>
      <c r="H125" s="12">
        <v>0</v>
      </c>
      <c r="I125" s="87">
        <v>12</v>
      </c>
      <c r="J125" s="12" t="s">
        <v>920</v>
      </c>
      <c r="K125" s="12"/>
      <c r="L125" s="12"/>
      <c r="M125" s="14" t="b">
        <v>0</v>
      </c>
      <c r="N125" s="14" t="b">
        <v>0</v>
      </c>
      <c r="O125" s="12">
        <v>0</v>
      </c>
      <c r="P125" s="12" t="s">
        <v>268</v>
      </c>
      <c r="Q125" s="12" t="s">
        <v>901</v>
      </c>
      <c r="R125" s="13" t="s">
        <v>270</v>
      </c>
      <c r="S125" s="13" t="s">
        <v>793</v>
      </c>
      <c r="T125" s="12" t="s">
        <v>33</v>
      </c>
      <c r="U125" s="12" t="s">
        <v>33</v>
      </c>
      <c r="V125" s="12" t="s">
        <v>921</v>
      </c>
      <c r="W125" s="12" t="s">
        <v>54</v>
      </c>
      <c r="X125" s="12" t="s">
        <v>101</v>
      </c>
      <c r="Y125" s="17" t="s">
        <v>922</v>
      </c>
    </row>
    <row r="126" spans="1:25" x14ac:dyDescent="0.2">
      <c r="A126" s="6">
        <v>125</v>
      </c>
      <c r="B126" s="7" t="s">
        <v>923</v>
      </c>
      <c r="C126" s="7" t="s">
        <v>924</v>
      </c>
      <c r="D126" s="8" t="s">
        <v>135</v>
      </c>
      <c r="E126" s="7" t="s">
        <v>925</v>
      </c>
      <c r="F126" s="7">
        <v>125</v>
      </c>
      <c r="G126" s="7">
        <v>300</v>
      </c>
      <c r="H126" s="7">
        <v>30</v>
      </c>
      <c r="I126" s="86">
        <v>10</v>
      </c>
      <c r="J126" s="7" t="s">
        <v>926</v>
      </c>
      <c r="K126" s="7"/>
      <c r="L126" s="7"/>
      <c r="M126" s="9" t="b">
        <v>0</v>
      </c>
      <c r="N126" s="9" t="b">
        <v>0</v>
      </c>
      <c r="O126" s="7">
        <v>0</v>
      </c>
      <c r="P126" s="7" t="s">
        <v>180</v>
      </c>
      <c r="Q126" s="7" t="s">
        <v>901</v>
      </c>
      <c r="R126" s="8" t="s">
        <v>72</v>
      </c>
      <c r="S126" s="8" t="s">
        <v>793</v>
      </c>
      <c r="T126" s="7" t="s">
        <v>33</v>
      </c>
      <c r="U126" s="7" t="s">
        <v>33</v>
      </c>
      <c r="V126" s="7" t="s">
        <v>927</v>
      </c>
      <c r="W126" s="7" t="s">
        <v>111</v>
      </c>
      <c r="X126" s="7" t="s">
        <v>168</v>
      </c>
      <c r="Y126" s="18" t="s">
        <v>928</v>
      </c>
    </row>
    <row r="127" spans="1:25" x14ac:dyDescent="0.2">
      <c r="A127" s="11">
        <v>126</v>
      </c>
      <c r="B127" s="12" t="s">
        <v>929</v>
      </c>
      <c r="C127" s="12" t="s">
        <v>930</v>
      </c>
      <c r="D127" s="13" t="s">
        <v>86</v>
      </c>
      <c r="E127" s="12" t="s">
        <v>931</v>
      </c>
      <c r="F127" s="12">
        <v>200</v>
      </c>
      <c r="G127" s="12">
        <v>1</v>
      </c>
      <c r="H127" s="12">
        <v>200</v>
      </c>
      <c r="I127" s="87">
        <v>25</v>
      </c>
      <c r="J127" s="12" t="s">
        <v>932</v>
      </c>
      <c r="K127" s="12"/>
      <c r="L127" s="12" t="s">
        <v>933</v>
      </c>
      <c r="M127" s="14" t="b">
        <v>1</v>
      </c>
      <c r="N127" s="14" t="b">
        <v>1</v>
      </c>
      <c r="O127" s="12">
        <v>0</v>
      </c>
      <c r="P127" s="12" t="s">
        <v>268</v>
      </c>
      <c r="Q127" s="12" t="s">
        <v>934</v>
      </c>
      <c r="R127" s="13" t="s">
        <v>72</v>
      </c>
      <c r="S127" s="13" t="s">
        <v>793</v>
      </c>
      <c r="T127" s="12" t="s">
        <v>33</v>
      </c>
      <c r="U127" s="12" t="s">
        <v>33</v>
      </c>
      <c r="V127" s="12" t="s">
        <v>935</v>
      </c>
      <c r="W127" s="12" t="s">
        <v>11</v>
      </c>
      <c r="X127" s="12" t="s">
        <v>168</v>
      </c>
      <c r="Y127" s="17" t="s">
        <v>936</v>
      </c>
    </row>
    <row r="128" spans="1:25" x14ac:dyDescent="0.2">
      <c r="A128" s="6">
        <v>127</v>
      </c>
      <c r="B128" s="7" t="s">
        <v>937</v>
      </c>
      <c r="C128" s="7" t="s">
        <v>938</v>
      </c>
      <c r="D128" s="8" t="s">
        <v>78</v>
      </c>
      <c r="E128" s="7" t="s">
        <v>939</v>
      </c>
      <c r="F128" s="7">
        <v>225</v>
      </c>
      <c r="G128" s="7">
        <v>300</v>
      </c>
      <c r="H128" s="7">
        <v>75</v>
      </c>
      <c r="I128" s="86">
        <v>8.5</v>
      </c>
      <c r="J128" s="7" t="s">
        <v>940</v>
      </c>
      <c r="K128" s="7" t="s">
        <v>941</v>
      </c>
      <c r="L128" s="7" t="s">
        <v>942</v>
      </c>
      <c r="M128" s="9" t="b">
        <v>0</v>
      </c>
      <c r="N128" s="9" t="b">
        <v>0</v>
      </c>
      <c r="O128" s="7">
        <v>0</v>
      </c>
      <c r="P128" s="7" t="s">
        <v>180</v>
      </c>
      <c r="Q128" s="7"/>
      <c r="R128" s="8" t="s">
        <v>43</v>
      </c>
      <c r="S128" s="8" t="s">
        <v>793</v>
      </c>
      <c r="T128" s="7" t="s">
        <v>33</v>
      </c>
      <c r="U128" s="7" t="s">
        <v>33</v>
      </c>
      <c r="V128" s="7" t="s">
        <v>943</v>
      </c>
      <c r="W128" s="7" t="s">
        <v>35</v>
      </c>
      <c r="X128" s="7" t="s">
        <v>168</v>
      </c>
      <c r="Y128" s="18" t="s">
        <v>944</v>
      </c>
    </row>
    <row r="129" spans="1:25" x14ac:dyDescent="0.2">
      <c r="A129" s="11">
        <v>128</v>
      </c>
      <c r="B129" s="12" t="s">
        <v>945</v>
      </c>
      <c r="C129" s="12" t="s">
        <v>946</v>
      </c>
      <c r="D129" s="13" t="s">
        <v>216</v>
      </c>
      <c r="E129" s="12" t="s">
        <v>947</v>
      </c>
      <c r="F129" s="12">
        <v>250</v>
      </c>
      <c r="G129" s="12">
        <v>300</v>
      </c>
      <c r="H129" s="12">
        <v>350</v>
      </c>
      <c r="I129" s="87">
        <v>6.5</v>
      </c>
      <c r="J129" s="12" t="s">
        <v>948</v>
      </c>
      <c r="K129" s="12" t="s">
        <v>949</v>
      </c>
      <c r="L129" s="12" t="s">
        <v>950</v>
      </c>
      <c r="M129" s="14" t="b">
        <v>0</v>
      </c>
      <c r="N129" s="14" t="b">
        <v>0</v>
      </c>
      <c r="O129" s="12">
        <v>0</v>
      </c>
      <c r="P129" s="12" t="s">
        <v>855</v>
      </c>
      <c r="Q129" s="12"/>
      <c r="R129" s="13" t="s">
        <v>130</v>
      </c>
      <c r="S129" s="13" t="s">
        <v>793</v>
      </c>
      <c r="T129" s="12">
        <v>500</v>
      </c>
      <c r="U129" s="12">
        <v>1600</v>
      </c>
      <c r="V129" s="12" t="s">
        <v>951</v>
      </c>
      <c r="W129" s="12" t="s">
        <v>35</v>
      </c>
      <c r="X129" s="12" t="s">
        <v>168</v>
      </c>
      <c r="Y129" s="17" t="s">
        <v>952</v>
      </c>
    </row>
    <row r="130" spans="1:25" x14ac:dyDescent="0.2">
      <c r="A130" s="6">
        <v>129</v>
      </c>
      <c r="B130" s="7" t="s">
        <v>953</v>
      </c>
      <c r="C130" s="7" t="s">
        <v>954</v>
      </c>
      <c r="D130" s="8" t="s">
        <v>49</v>
      </c>
      <c r="E130" s="7" t="s">
        <v>955</v>
      </c>
      <c r="F130" s="7">
        <v>125</v>
      </c>
      <c r="G130" s="7">
        <v>8000</v>
      </c>
      <c r="H130" s="7">
        <v>0</v>
      </c>
      <c r="I130" s="86">
        <v>12</v>
      </c>
      <c r="J130" s="7" t="s">
        <v>956</v>
      </c>
      <c r="K130" s="7" t="s">
        <v>957</v>
      </c>
      <c r="L130" s="7" t="s">
        <v>958</v>
      </c>
      <c r="M130" s="9" t="b">
        <v>0</v>
      </c>
      <c r="N130" s="9" t="b">
        <v>0</v>
      </c>
      <c r="O130" s="7">
        <v>0</v>
      </c>
      <c r="P130" s="7" t="s">
        <v>180</v>
      </c>
      <c r="Q130" s="7" t="s">
        <v>157</v>
      </c>
      <c r="R130" s="8" t="s">
        <v>52</v>
      </c>
      <c r="S130" s="8" t="s">
        <v>793</v>
      </c>
      <c r="T130" s="7" t="s">
        <v>33</v>
      </c>
      <c r="U130" s="7" t="s">
        <v>33</v>
      </c>
      <c r="V130" s="7" t="s">
        <v>959</v>
      </c>
      <c r="W130" s="7" t="s">
        <v>54</v>
      </c>
      <c r="X130" s="7" t="s">
        <v>168</v>
      </c>
      <c r="Y130" s="18" t="s">
        <v>960</v>
      </c>
    </row>
    <row r="131" spans="1:25" x14ac:dyDescent="0.2">
      <c r="A131" s="11">
        <v>130</v>
      </c>
      <c r="B131" s="12" t="s">
        <v>961</v>
      </c>
      <c r="C131" s="12" t="s">
        <v>962</v>
      </c>
      <c r="D131" s="13" t="s">
        <v>40</v>
      </c>
      <c r="E131" s="12" t="s">
        <v>963</v>
      </c>
      <c r="F131" s="12">
        <v>75</v>
      </c>
      <c r="G131" s="12">
        <v>300</v>
      </c>
      <c r="H131" s="12">
        <v>0</v>
      </c>
      <c r="I131" s="87">
        <v>5</v>
      </c>
      <c r="J131" s="12" t="s">
        <v>964</v>
      </c>
      <c r="K131" s="12" t="s">
        <v>965</v>
      </c>
      <c r="L131" s="12" t="s">
        <v>966</v>
      </c>
      <c r="M131" s="14" t="b">
        <v>0</v>
      </c>
      <c r="N131" s="14" t="b">
        <v>0</v>
      </c>
      <c r="O131" s="12">
        <v>50</v>
      </c>
      <c r="P131" s="12" t="s">
        <v>268</v>
      </c>
      <c r="Q131" s="12" t="s">
        <v>901</v>
      </c>
      <c r="R131" s="13" t="s">
        <v>43</v>
      </c>
      <c r="S131" s="13" t="s">
        <v>793</v>
      </c>
      <c r="T131" s="12" t="s">
        <v>33</v>
      </c>
      <c r="U131" s="12" t="s">
        <v>33</v>
      </c>
      <c r="V131" s="12" t="s">
        <v>967</v>
      </c>
      <c r="W131" s="12" t="s">
        <v>45</v>
      </c>
      <c r="X131" s="12" t="s">
        <v>168</v>
      </c>
      <c r="Y131" s="17" t="s">
        <v>968</v>
      </c>
    </row>
    <row r="132" spans="1:25" x14ac:dyDescent="0.2">
      <c r="A132" s="6">
        <v>131</v>
      </c>
      <c r="B132" s="7" t="s">
        <v>969</v>
      </c>
      <c r="C132" s="7" t="s">
        <v>970</v>
      </c>
      <c r="D132" s="8" t="s">
        <v>27</v>
      </c>
      <c r="E132" s="7" t="s">
        <v>971</v>
      </c>
      <c r="F132" s="7">
        <v>50</v>
      </c>
      <c r="G132" s="7">
        <v>1</v>
      </c>
      <c r="H132" s="7">
        <v>15</v>
      </c>
      <c r="I132" s="86">
        <v>5.5</v>
      </c>
      <c r="J132" s="7" t="s">
        <v>932</v>
      </c>
      <c r="K132" s="7"/>
      <c r="L132" s="7" t="s">
        <v>972</v>
      </c>
      <c r="M132" s="9" t="b">
        <v>1</v>
      </c>
      <c r="N132" s="9" t="b">
        <v>1</v>
      </c>
      <c r="O132" s="7">
        <v>0</v>
      </c>
      <c r="P132" s="7" t="s">
        <v>180</v>
      </c>
      <c r="Q132" s="7"/>
      <c r="R132" s="8" t="s">
        <v>72</v>
      </c>
      <c r="S132" s="8" t="s">
        <v>793</v>
      </c>
      <c r="T132" s="7" t="s">
        <v>33</v>
      </c>
      <c r="U132" s="7" t="s">
        <v>33</v>
      </c>
      <c r="V132" s="7" t="s">
        <v>973</v>
      </c>
      <c r="W132" s="7" t="s">
        <v>111</v>
      </c>
      <c r="X132" s="7" t="s">
        <v>168</v>
      </c>
      <c r="Y132" s="18" t="s">
        <v>974</v>
      </c>
    </row>
    <row r="133" spans="1:25" x14ac:dyDescent="0.2">
      <c r="A133" s="11">
        <v>132</v>
      </c>
      <c r="B133" s="12" t="s">
        <v>975</v>
      </c>
      <c r="C133" s="12" t="s">
        <v>976</v>
      </c>
      <c r="D133" s="13" t="s">
        <v>95</v>
      </c>
      <c r="E133" s="12" t="s">
        <v>977</v>
      </c>
      <c r="F133" s="12">
        <v>175</v>
      </c>
      <c r="G133" s="12">
        <v>1</v>
      </c>
      <c r="H133" s="12">
        <v>0</v>
      </c>
      <c r="I133" s="87">
        <v>7</v>
      </c>
      <c r="J133" s="12" t="s">
        <v>978</v>
      </c>
      <c r="K133" s="12" t="s">
        <v>979</v>
      </c>
      <c r="L133" s="12" t="s">
        <v>980</v>
      </c>
      <c r="M133" s="14" t="b">
        <v>0</v>
      </c>
      <c r="N133" s="14" t="b">
        <v>0</v>
      </c>
      <c r="O133" s="12">
        <v>0</v>
      </c>
      <c r="P133" s="12" t="s">
        <v>855</v>
      </c>
      <c r="Q133" s="12" t="s">
        <v>981</v>
      </c>
      <c r="R133" s="13" t="s">
        <v>740</v>
      </c>
      <c r="S133" s="13" t="s">
        <v>793</v>
      </c>
      <c r="T133" s="12" t="s">
        <v>33</v>
      </c>
      <c r="U133" s="12" t="s">
        <v>33</v>
      </c>
      <c r="V133" s="12" t="s">
        <v>982</v>
      </c>
      <c r="W133" s="12" t="s">
        <v>11</v>
      </c>
      <c r="X133" s="12" t="s">
        <v>168</v>
      </c>
      <c r="Y133" s="20" t="s">
        <v>983</v>
      </c>
    </row>
    <row r="134" spans="1:25" x14ac:dyDescent="0.2">
      <c r="A134" s="6">
        <v>133</v>
      </c>
      <c r="B134" s="7" t="s">
        <v>984</v>
      </c>
      <c r="C134" s="7" t="s">
        <v>985</v>
      </c>
      <c r="D134" s="8" t="s">
        <v>199</v>
      </c>
      <c r="E134" s="7" t="s">
        <v>986</v>
      </c>
      <c r="F134" s="7">
        <v>150</v>
      </c>
      <c r="G134" s="7">
        <v>1</v>
      </c>
      <c r="H134" s="7">
        <v>50</v>
      </c>
      <c r="I134" s="86">
        <v>20</v>
      </c>
      <c r="J134" s="7" t="s">
        <v>932</v>
      </c>
      <c r="K134" s="7" t="s">
        <v>987</v>
      </c>
      <c r="L134" s="7"/>
      <c r="M134" s="9" t="b">
        <v>1</v>
      </c>
      <c r="N134" s="9" t="b">
        <v>1</v>
      </c>
      <c r="O134" s="7">
        <v>0</v>
      </c>
      <c r="P134" s="7" t="s">
        <v>180</v>
      </c>
      <c r="Q134" s="7" t="s">
        <v>988</v>
      </c>
      <c r="R134" s="8" t="s">
        <v>366</v>
      </c>
      <c r="S134" s="8" t="s">
        <v>793</v>
      </c>
      <c r="T134" s="7" t="s">
        <v>33</v>
      </c>
      <c r="U134" s="7" t="s">
        <v>33</v>
      </c>
      <c r="V134" s="7" t="s">
        <v>989</v>
      </c>
      <c r="W134" s="7" t="s">
        <v>11</v>
      </c>
      <c r="X134" s="7" t="s">
        <v>835</v>
      </c>
      <c r="Y134" s="18" t="s">
        <v>990</v>
      </c>
    </row>
    <row r="135" spans="1:25" x14ac:dyDescent="0.2">
      <c r="A135" s="11">
        <v>134</v>
      </c>
      <c r="B135" s="12" t="s">
        <v>991</v>
      </c>
      <c r="C135" s="12" t="s">
        <v>992</v>
      </c>
      <c r="D135" s="13" t="s">
        <v>59</v>
      </c>
      <c r="E135" s="12" t="s">
        <v>993</v>
      </c>
      <c r="F135" s="12">
        <v>150</v>
      </c>
      <c r="G135" s="12">
        <v>1500</v>
      </c>
      <c r="H135" s="12">
        <v>1800</v>
      </c>
      <c r="I135" s="87">
        <v>10</v>
      </c>
      <c r="J135" s="12" t="s">
        <v>994</v>
      </c>
      <c r="K135" s="12" t="s">
        <v>995</v>
      </c>
      <c r="L135" s="12"/>
      <c r="M135" s="14" t="b">
        <v>0</v>
      </c>
      <c r="N135" s="14" t="b">
        <v>0</v>
      </c>
      <c r="O135" s="12">
        <v>0</v>
      </c>
      <c r="P135" s="12" t="s">
        <v>855</v>
      </c>
      <c r="Q135" s="12" t="s">
        <v>996</v>
      </c>
      <c r="R135" s="13" t="s">
        <v>72</v>
      </c>
      <c r="S135" s="13" t="s">
        <v>793</v>
      </c>
      <c r="T135" s="12" t="s">
        <v>33</v>
      </c>
      <c r="U135" s="12" t="s">
        <v>33</v>
      </c>
      <c r="V135" s="12" t="s">
        <v>997</v>
      </c>
      <c r="W135" s="12" t="s">
        <v>111</v>
      </c>
      <c r="X135" s="12" t="s">
        <v>835</v>
      </c>
      <c r="Y135" s="17" t="s">
        <v>998</v>
      </c>
    </row>
    <row r="136" spans="1:25" x14ac:dyDescent="0.2">
      <c r="A136" s="6">
        <v>135</v>
      </c>
      <c r="B136" s="7" t="s">
        <v>999</v>
      </c>
      <c r="C136" s="7" t="s">
        <v>1000</v>
      </c>
      <c r="D136" s="8" t="s">
        <v>505</v>
      </c>
      <c r="E136" s="7" t="s">
        <v>1001</v>
      </c>
      <c r="F136" s="7">
        <v>100</v>
      </c>
      <c r="G136" s="7">
        <v>2500</v>
      </c>
      <c r="H136" s="7">
        <v>20</v>
      </c>
      <c r="I136" s="86">
        <v>10</v>
      </c>
      <c r="J136" s="7" t="s">
        <v>1002</v>
      </c>
      <c r="K136" s="7" t="s">
        <v>1003</v>
      </c>
      <c r="L136" s="7"/>
      <c r="M136" s="9" t="b">
        <v>0</v>
      </c>
      <c r="N136" s="9" t="b">
        <v>0</v>
      </c>
      <c r="O136" s="7">
        <v>0</v>
      </c>
      <c r="P136" s="7" t="s">
        <v>268</v>
      </c>
      <c r="Q136" s="7" t="s">
        <v>295</v>
      </c>
      <c r="R136" s="8" t="s">
        <v>52</v>
      </c>
      <c r="S136" s="8" t="s">
        <v>793</v>
      </c>
      <c r="T136" s="7">
        <v>1500</v>
      </c>
      <c r="U136" s="7">
        <v>0</v>
      </c>
      <c r="V136" s="7" t="s">
        <v>1004</v>
      </c>
      <c r="W136" s="7" t="s">
        <v>54</v>
      </c>
      <c r="X136" s="7" t="s">
        <v>835</v>
      </c>
      <c r="Y136" s="18" t="s">
        <v>1005</v>
      </c>
    </row>
    <row r="137" spans="1:25" x14ac:dyDescent="0.2">
      <c r="A137" s="11">
        <v>136</v>
      </c>
      <c r="B137" s="12" t="s">
        <v>1006</v>
      </c>
      <c r="C137" s="12" t="s">
        <v>1007</v>
      </c>
      <c r="D137" s="13" t="s">
        <v>68</v>
      </c>
      <c r="E137" s="12" t="s">
        <v>1008</v>
      </c>
      <c r="F137" s="12">
        <v>150</v>
      </c>
      <c r="G137" s="12">
        <v>300</v>
      </c>
      <c r="H137" s="12">
        <v>10</v>
      </c>
      <c r="I137" s="87">
        <v>5</v>
      </c>
      <c r="J137" s="12" t="s">
        <v>1009</v>
      </c>
      <c r="K137" s="12"/>
      <c r="L137" s="12"/>
      <c r="M137" s="14" t="b">
        <v>0</v>
      </c>
      <c r="N137" s="14" t="b">
        <v>0</v>
      </c>
      <c r="O137" s="12">
        <v>0</v>
      </c>
      <c r="P137" s="12" t="s">
        <v>855</v>
      </c>
      <c r="Q137" s="12" t="s">
        <v>1010</v>
      </c>
      <c r="R137" s="13" t="s">
        <v>72</v>
      </c>
      <c r="S137" s="13" t="s">
        <v>793</v>
      </c>
      <c r="T137" s="12" t="s">
        <v>33</v>
      </c>
      <c r="U137" s="12" t="s">
        <v>33</v>
      </c>
      <c r="V137" s="12" t="s">
        <v>1011</v>
      </c>
      <c r="W137" s="12" t="s">
        <v>35</v>
      </c>
      <c r="X137" s="12" t="s">
        <v>168</v>
      </c>
      <c r="Y137" s="17" t="s">
        <v>1012</v>
      </c>
    </row>
    <row r="138" spans="1:25" x14ac:dyDescent="0.2">
      <c r="A138" s="6">
        <v>137</v>
      </c>
      <c r="B138" s="7" t="s">
        <v>1013</v>
      </c>
      <c r="C138" s="7" t="s">
        <v>1014</v>
      </c>
      <c r="D138" s="8" t="s">
        <v>105</v>
      </c>
      <c r="E138" s="7" t="s">
        <v>1015</v>
      </c>
      <c r="F138" s="7">
        <v>175</v>
      </c>
      <c r="G138" s="7">
        <v>900</v>
      </c>
      <c r="H138" s="7">
        <v>100</v>
      </c>
      <c r="I138" s="86">
        <v>7</v>
      </c>
      <c r="J138" s="7" t="s">
        <v>1016</v>
      </c>
      <c r="K138" s="7" t="s">
        <v>1017</v>
      </c>
      <c r="L138" s="7"/>
      <c r="M138" s="9" t="b">
        <v>0</v>
      </c>
      <c r="N138" s="9" t="b">
        <v>0</v>
      </c>
      <c r="O138" s="7">
        <v>0</v>
      </c>
      <c r="P138" s="7" t="s">
        <v>855</v>
      </c>
      <c r="Q138" s="7" t="s">
        <v>1018</v>
      </c>
      <c r="R138" s="8" t="s">
        <v>72</v>
      </c>
      <c r="S138" s="8" t="s">
        <v>793</v>
      </c>
      <c r="T138" s="7" t="s">
        <v>33</v>
      </c>
      <c r="U138" s="7" t="s">
        <v>33</v>
      </c>
      <c r="V138" s="7" t="s">
        <v>1019</v>
      </c>
      <c r="W138" s="7" t="s">
        <v>111</v>
      </c>
      <c r="X138" s="7" t="s">
        <v>168</v>
      </c>
      <c r="Y138" s="18" t="s">
        <v>1020</v>
      </c>
    </row>
    <row r="139" spans="1:25" x14ac:dyDescent="0.2">
      <c r="A139" s="11">
        <v>138</v>
      </c>
      <c r="B139" s="12" t="s">
        <v>1021</v>
      </c>
      <c r="C139" s="12" t="s">
        <v>1022</v>
      </c>
      <c r="D139" s="13" t="s">
        <v>86</v>
      </c>
      <c r="E139" s="12" t="s">
        <v>1023</v>
      </c>
      <c r="F139" s="12">
        <v>150</v>
      </c>
      <c r="G139" s="12">
        <v>300</v>
      </c>
      <c r="H139" s="12">
        <v>50</v>
      </c>
      <c r="I139" s="87">
        <v>30</v>
      </c>
      <c r="J139" s="12" t="s">
        <v>1024</v>
      </c>
      <c r="K139" s="12" t="s">
        <v>1025</v>
      </c>
      <c r="L139" s="12" t="s">
        <v>1026</v>
      </c>
      <c r="M139" s="14" t="b">
        <v>0</v>
      </c>
      <c r="N139" s="14" t="b">
        <v>0</v>
      </c>
      <c r="O139" s="12">
        <v>0</v>
      </c>
      <c r="P139" s="12" t="s">
        <v>855</v>
      </c>
      <c r="Q139" s="12" t="s">
        <v>546</v>
      </c>
      <c r="R139" s="13" t="s">
        <v>43</v>
      </c>
      <c r="S139" s="13" t="s">
        <v>793</v>
      </c>
      <c r="T139" s="12" t="s">
        <v>33</v>
      </c>
      <c r="U139" s="12">
        <v>1000</v>
      </c>
      <c r="V139" s="12" t="s">
        <v>1027</v>
      </c>
      <c r="W139" s="12" t="s">
        <v>11</v>
      </c>
      <c r="X139" s="12" t="s">
        <v>835</v>
      </c>
      <c r="Y139" s="17" t="s">
        <v>1028</v>
      </c>
    </row>
    <row r="140" spans="1:25" x14ac:dyDescent="0.2">
      <c r="A140" s="6">
        <v>139</v>
      </c>
      <c r="B140" s="7" t="s">
        <v>1029</v>
      </c>
      <c r="C140" s="7" t="s">
        <v>1030</v>
      </c>
      <c r="D140" s="8" t="s">
        <v>68</v>
      </c>
      <c r="E140" s="7" t="s">
        <v>1031</v>
      </c>
      <c r="F140" s="7">
        <v>255</v>
      </c>
      <c r="G140" s="7">
        <v>300</v>
      </c>
      <c r="H140" s="7">
        <v>40</v>
      </c>
      <c r="I140" s="86">
        <v>10</v>
      </c>
      <c r="J140" s="7" t="s">
        <v>1032</v>
      </c>
      <c r="K140" s="7"/>
      <c r="L140" s="7" t="s">
        <v>1033</v>
      </c>
      <c r="M140" s="9" t="b">
        <v>0</v>
      </c>
      <c r="N140" s="9" t="b">
        <v>0</v>
      </c>
      <c r="O140" s="7">
        <v>0</v>
      </c>
      <c r="P140" s="7" t="s">
        <v>268</v>
      </c>
      <c r="Q140" s="7" t="s">
        <v>71</v>
      </c>
      <c r="R140" s="8" t="s">
        <v>270</v>
      </c>
      <c r="S140" s="8" t="s">
        <v>793</v>
      </c>
      <c r="T140" s="7" t="s">
        <v>33</v>
      </c>
      <c r="U140" s="7" t="s">
        <v>33</v>
      </c>
      <c r="V140" s="7" t="s">
        <v>1034</v>
      </c>
      <c r="W140" s="7" t="s">
        <v>35</v>
      </c>
      <c r="X140" s="7" t="s">
        <v>168</v>
      </c>
      <c r="Y140" s="18" t="s">
        <v>1035</v>
      </c>
    </row>
    <row r="141" spans="1:25" x14ac:dyDescent="0.2">
      <c r="A141" s="11">
        <v>140</v>
      </c>
      <c r="B141" s="12" t="s">
        <v>1036</v>
      </c>
      <c r="C141" s="12" t="s">
        <v>1037</v>
      </c>
      <c r="D141" s="13" t="s">
        <v>356</v>
      </c>
      <c r="E141" s="12" t="s">
        <v>1038</v>
      </c>
      <c r="F141" s="12">
        <v>200</v>
      </c>
      <c r="G141" s="12">
        <v>300</v>
      </c>
      <c r="H141" s="12">
        <v>100</v>
      </c>
      <c r="I141" s="87">
        <v>20</v>
      </c>
      <c r="J141" s="12" t="s">
        <v>1039</v>
      </c>
      <c r="K141" s="12"/>
      <c r="L141" s="12" t="s">
        <v>1040</v>
      </c>
      <c r="M141" s="14" t="b">
        <v>0</v>
      </c>
      <c r="N141" s="14" t="b">
        <v>0</v>
      </c>
      <c r="O141" s="12">
        <v>0</v>
      </c>
      <c r="P141" s="12" t="s">
        <v>122</v>
      </c>
      <c r="Q141" s="12" t="s">
        <v>157</v>
      </c>
      <c r="R141" s="13" t="s">
        <v>43</v>
      </c>
      <c r="S141" s="13" t="s">
        <v>793</v>
      </c>
      <c r="T141" s="12" t="s">
        <v>33</v>
      </c>
      <c r="U141" s="12" t="s">
        <v>33</v>
      </c>
      <c r="V141" s="12" t="s">
        <v>1041</v>
      </c>
      <c r="W141" s="12" t="s">
        <v>35</v>
      </c>
      <c r="X141" s="12" t="s">
        <v>168</v>
      </c>
      <c r="Y141" s="17" t="s">
        <v>1042</v>
      </c>
    </row>
    <row r="142" spans="1:25" x14ac:dyDescent="0.2">
      <c r="A142" s="6">
        <v>141</v>
      </c>
      <c r="B142" s="7" t="s">
        <v>1043</v>
      </c>
      <c r="C142" s="7" t="s">
        <v>1044</v>
      </c>
      <c r="D142" s="8" t="s">
        <v>505</v>
      </c>
      <c r="E142" s="7" t="s">
        <v>1045</v>
      </c>
      <c r="F142" s="7">
        <v>125</v>
      </c>
      <c r="G142" s="7">
        <v>250</v>
      </c>
      <c r="H142" s="7">
        <v>45</v>
      </c>
      <c r="I142" s="86">
        <v>5</v>
      </c>
      <c r="J142" s="7" t="s">
        <v>1046</v>
      </c>
      <c r="K142" s="7"/>
      <c r="L142" s="7" t="s">
        <v>1047</v>
      </c>
      <c r="M142" s="9" t="b">
        <v>0</v>
      </c>
      <c r="N142" s="9" t="b">
        <v>0</v>
      </c>
      <c r="O142" s="7">
        <v>0</v>
      </c>
      <c r="P142" s="7" t="s">
        <v>268</v>
      </c>
      <c r="Q142" s="7" t="s">
        <v>996</v>
      </c>
      <c r="R142" s="8" t="s">
        <v>366</v>
      </c>
      <c r="S142" s="8" t="s">
        <v>793</v>
      </c>
      <c r="T142" s="7" t="s">
        <v>33</v>
      </c>
      <c r="U142" s="7" t="s">
        <v>33</v>
      </c>
      <c r="V142" s="7" t="s">
        <v>1048</v>
      </c>
      <c r="W142" s="7" t="s">
        <v>111</v>
      </c>
      <c r="X142" s="7" t="s">
        <v>168</v>
      </c>
      <c r="Y142" s="18" t="s">
        <v>1049</v>
      </c>
    </row>
    <row r="143" spans="1:25" x14ac:dyDescent="0.2">
      <c r="A143" s="11">
        <v>142</v>
      </c>
      <c r="B143" s="12" t="s">
        <v>1050</v>
      </c>
      <c r="C143" s="12" t="s">
        <v>1051</v>
      </c>
      <c r="D143" s="13" t="s">
        <v>95</v>
      </c>
      <c r="E143" s="12" t="s">
        <v>1052</v>
      </c>
      <c r="F143" s="12">
        <v>100</v>
      </c>
      <c r="G143" s="12">
        <v>300</v>
      </c>
      <c r="H143" s="12">
        <v>15</v>
      </c>
      <c r="I143" s="87">
        <v>5</v>
      </c>
      <c r="J143" s="21" t="s">
        <v>1053</v>
      </c>
      <c r="K143" s="21" t="s">
        <v>1054</v>
      </c>
      <c r="L143" s="12" t="s">
        <v>1055</v>
      </c>
      <c r="M143" s="14" t="b">
        <v>0</v>
      </c>
      <c r="N143" s="14" t="b">
        <v>0</v>
      </c>
      <c r="O143" s="12">
        <v>0</v>
      </c>
      <c r="P143" s="12" t="s">
        <v>268</v>
      </c>
      <c r="Q143" s="12" t="s">
        <v>1056</v>
      </c>
      <c r="R143" s="13" t="s">
        <v>43</v>
      </c>
      <c r="S143" s="13" t="s">
        <v>793</v>
      </c>
      <c r="T143" s="12" t="s">
        <v>33</v>
      </c>
      <c r="U143" s="12" t="s">
        <v>33</v>
      </c>
      <c r="V143" s="12" t="s">
        <v>1057</v>
      </c>
      <c r="W143" s="12" t="s">
        <v>35</v>
      </c>
      <c r="X143" s="12" t="s">
        <v>168</v>
      </c>
      <c r="Y143" s="17" t="s">
        <v>1058</v>
      </c>
    </row>
    <row r="144" spans="1:25" x14ac:dyDescent="0.2">
      <c r="A144" s="6">
        <v>143</v>
      </c>
      <c r="B144" s="7" t="s">
        <v>1059</v>
      </c>
      <c r="C144" s="7" t="s">
        <v>1060</v>
      </c>
      <c r="D144" s="8" t="s">
        <v>59</v>
      </c>
      <c r="E144" s="7" t="s">
        <v>1061</v>
      </c>
      <c r="F144" s="7">
        <v>350</v>
      </c>
      <c r="G144" s="7">
        <v>300</v>
      </c>
      <c r="H144" s="7">
        <v>575</v>
      </c>
      <c r="I144" s="86">
        <v>5</v>
      </c>
      <c r="J144" s="7" t="s">
        <v>1062</v>
      </c>
      <c r="K144" s="7" t="s">
        <v>1063</v>
      </c>
      <c r="L144" s="7"/>
      <c r="M144" s="9" t="b">
        <v>0</v>
      </c>
      <c r="N144" s="9" t="b">
        <v>0</v>
      </c>
      <c r="O144" s="7">
        <v>0</v>
      </c>
      <c r="P144" s="7" t="s">
        <v>180</v>
      </c>
      <c r="Q144" s="7" t="s">
        <v>1064</v>
      </c>
      <c r="R144" s="8" t="s">
        <v>43</v>
      </c>
      <c r="S144" s="8" t="s">
        <v>793</v>
      </c>
      <c r="T144" s="7" t="s">
        <v>33</v>
      </c>
      <c r="U144" s="7" t="s">
        <v>33</v>
      </c>
      <c r="V144" s="7" t="s">
        <v>1065</v>
      </c>
      <c r="W144" s="7" t="s">
        <v>35</v>
      </c>
      <c r="X144" s="7" t="s">
        <v>168</v>
      </c>
      <c r="Y144" s="18" t="s">
        <v>1066</v>
      </c>
    </row>
    <row r="145" spans="1:25" x14ac:dyDescent="0.2">
      <c r="A145" s="11">
        <v>144</v>
      </c>
      <c r="B145" s="12" t="s">
        <v>1067</v>
      </c>
      <c r="C145" s="12" t="s">
        <v>1068</v>
      </c>
      <c r="D145" s="13" t="s">
        <v>27</v>
      </c>
      <c r="E145" s="12" t="s">
        <v>1069</v>
      </c>
      <c r="F145" s="12">
        <v>125</v>
      </c>
      <c r="G145" s="12">
        <v>300</v>
      </c>
      <c r="H145" s="12">
        <v>20</v>
      </c>
      <c r="I145" s="87">
        <v>5</v>
      </c>
      <c r="J145" s="12" t="s">
        <v>1070</v>
      </c>
      <c r="K145" s="12" t="s">
        <v>1071</v>
      </c>
      <c r="L145" s="12"/>
      <c r="M145" s="14" t="b">
        <v>0</v>
      </c>
      <c r="N145" s="14" t="b">
        <v>0</v>
      </c>
      <c r="O145" s="12">
        <v>0</v>
      </c>
      <c r="P145" s="12" t="s">
        <v>666</v>
      </c>
      <c r="Q145" s="12" t="s">
        <v>901</v>
      </c>
      <c r="R145" s="13" t="s">
        <v>31</v>
      </c>
      <c r="S145" s="13" t="s">
        <v>793</v>
      </c>
      <c r="T145" s="12" t="s">
        <v>33</v>
      </c>
      <c r="U145" s="12" t="s">
        <v>33</v>
      </c>
      <c r="V145" s="12" t="s">
        <v>1072</v>
      </c>
      <c r="W145" s="12" t="s">
        <v>35</v>
      </c>
      <c r="X145" s="12" t="s">
        <v>168</v>
      </c>
      <c r="Y145" s="17" t="s">
        <v>1073</v>
      </c>
    </row>
    <row r="146" spans="1:25" x14ac:dyDescent="0.2">
      <c r="A146" s="6">
        <v>145</v>
      </c>
      <c r="B146" s="7" t="s">
        <v>1074</v>
      </c>
      <c r="C146" s="7" t="s">
        <v>1075</v>
      </c>
      <c r="D146" s="8" t="s">
        <v>135</v>
      </c>
      <c r="E146" s="7" t="s">
        <v>1076</v>
      </c>
      <c r="F146" s="7">
        <v>200</v>
      </c>
      <c r="G146" s="7">
        <v>300</v>
      </c>
      <c r="H146" s="7">
        <v>22</v>
      </c>
      <c r="I146" s="86">
        <v>25</v>
      </c>
      <c r="J146" s="7" t="s">
        <v>1077</v>
      </c>
      <c r="K146" s="7"/>
      <c r="L146" s="7" t="s">
        <v>254</v>
      </c>
      <c r="M146" s="9" t="b">
        <v>0</v>
      </c>
      <c r="N146" s="9" t="b">
        <v>0</v>
      </c>
      <c r="O146" s="7">
        <v>0</v>
      </c>
      <c r="P146" s="7" t="s">
        <v>855</v>
      </c>
      <c r="Q146" s="7" t="s">
        <v>157</v>
      </c>
      <c r="R146" s="8" t="s">
        <v>72</v>
      </c>
      <c r="S146" s="8" t="s">
        <v>793</v>
      </c>
      <c r="T146" s="7" t="s">
        <v>33</v>
      </c>
      <c r="U146" s="7" t="s">
        <v>33</v>
      </c>
      <c r="V146" s="7" t="s">
        <v>1078</v>
      </c>
      <c r="W146" s="7" t="s">
        <v>35</v>
      </c>
      <c r="X146" s="7" t="s">
        <v>168</v>
      </c>
      <c r="Y146" s="18" t="s">
        <v>1079</v>
      </c>
    </row>
    <row r="147" spans="1:25" x14ac:dyDescent="0.2">
      <c r="A147" s="11">
        <v>146</v>
      </c>
      <c r="B147" s="12" t="s">
        <v>1080</v>
      </c>
      <c r="C147" s="12" t="s">
        <v>1081</v>
      </c>
      <c r="D147" s="13" t="s">
        <v>40</v>
      </c>
      <c r="E147" s="12" t="s">
        <v>1082</v>
      </c>
      <c r="F147" s="12">
        <v>0</v>
      </c>
      <c r="G147" s="12">
        <v>300</v>
      </c>
      <c r="H147" s="12">
        <v>0</v>
      </c>
      <c r="I147" s="87">
        <v>20</v>
      </c>
      <c r="J147" s="12" t="s">
        <v>1083</v>
      </c>
      <c r="K147" s="12"/>
      <c r="L147" s="12"/>
      <c r="M147" s="14" t="b">
        <v>1</v>
      </c>
      <c r="N147" s="14" t="b">
        <v>0</v>
      </c>
      <c r="O147" s="12">
        <v>50</v>
      </c>
      <c r="P147" s="12" t="s">
        <v>855</v>
      </c>
      <c r="Q147" s="12" t="s">
        <v>277</v>
      </c>
      <c r="R147" s="13" t="s">
        <v>72</v>
      </c>
      <c r="S147" s="13" t="s">
        <v>793</v>
      </c>
      <c r="T147" s="12" t="s">
        <v>33</v>
      </c>
      <c r="U147" s="12" t="s">
        <v>33</v>
      </c>
      <c r="V147" s="12" t="s">
        <v>1084</v>
      </c>
      <c r="W147" s="12" t="s">
        <v>45</v>
      </c>
      <c r="X147" s="12" t="s">
        <v>835</v>
      </c>
      <c r="Y147" s="17" t="s">
        <v>1085</v>
      </c>
    </row>
    <row r="148" spans="1:25" x14ac:dyDescent="0.2">
      <c r="A148" s="6">
        <v>147</v>
      </c>
      <c r="B148" s="7" t="s">
        <v>1086</v>
      </c>
      <c r="C148" s="7" t="s">
        <v>1087</v>
      </c>
      <c r="D148" s="8" t="s">
        <v>216</v>
      </c>
      <c r="E148" s="7" t="s">
        <v>1088</v>
      </c>
      <c r="F148" s="7">
        <v>150</v>
      </c>
      <c r="G148" s="7">
        <v>250</v>
      </c>
      <c r="H148" s="7">
        <v>10</v>
      </c>
      <c r="I148" s="86">
        <v>5</v>
      </c>
      <c r="J148" s="7" t="s">
        <v>1089</v>
      </c>
      <c r="K148" s="7"/>
      <c r="L148" s="7" t="s">
        <v>1090</v>
      </c>
      <c r="M148" s="9" t="b">
        <v>0</v>
      </c>
      <c r="N148" s="9" t="b">
        <v>0</v>
      </c>
      <c r="O148" s="7">
        <v>0</v>
      </c>
      <c r="P148" s="7" t="s">
        <v>180</v>
      </c>
      <c r="Q148" s="7" t="s">
        <v>901</v>
      </c>
      <c r="R148" s="8" t="s">
        <v>187</v>
      </c>
      <c r="S148" s="8" t="s">
        <v>793</v>
      </c>
      <c r="T148" s="7" t="s">
        <v>33</v>
      </c>
      <c r="U148" s="7" t="s">
        <v>33</v>
      </c>
      <c r="V148" s="7" t="s">
        <v>1091</v>
      </c>
      <c r="W148" s="7" t="s">
        <v>35</v>
      </c>
      <c r="X148" s="7" t="s">
        <v>168</v>
      </c>
      <c r="Y148" s="18" t="s">
        <v>1092</v>
      </c>
    </row>
    <row r="149" spans="1:25" x14ac:dyDescent="0.2">
      <c r="A149" s="11">
        <v>148</v>
      </c>
      <c r="B149" s="12" t="s">
        <v>1093</v>
      </c>
      <c r="C149" s="12" t="s">
        <v>1094</v>
      </c>
      <c r="D149" s="13" t="s">
        <v>505</v>
      </c>
      <c r="E149" s="12" t="s">
        <v>1095</v>
      </c>
      <c r="F149" s="12">
        <v>150</v>
      </c>
      <c r="G149" s="12">
        <v>1</v>
      </c>
      <c r="H149" s="12">
        <v>40</v>
      </c>
      <c r="I149" s="87">
        <v>15</v>
      </c>
      <c r="J149" s="12" t="s">
        <v>932</v>
      </c>
      <c r="K149" s="12"/>
      <c r="L149" s="12" t="s">
        <v>1096</v>
      </c>
      <c r="M149" s="14" t="b">
        <v>1</v>
      </c>
      <c r="N149" s="14" t="b">
        <v>1</v>
      </c>
      <c r="O149" s="12">
        <v>0</v>
      </c>
      <c r="P149" s="12" t="s">
        <v>180</v>
      </c>
      <c r="Q149" s="12" t="s">
        <v>1097</v>
      </c>
      <c r="R149" s="13" t="s">
        <v>130</v>
      </c>
      <c r="S149" s="13" t="s">
        <v>793</v>
      </c>
      <c r="T149" s="12" t="s">
        <v>33</v>
      </c>
      <c r="U149" s="12" t="s">
        <v>33</v>
      </c>
      <c r="V149" s="12" t="s">
        <v>1098</v>
      </c>
      <c r="W149" s="12" t="s">
        <v>11</v>
      </c>
      <c r="X149" s="12" t="s">
        <v>835</v>
      </c>
      <c r="Y149" s="17" t="s">
        <v>1099</v>
      </c>
    </row>
    <row r="150" spans="1:25" x14ac:dyDescent="0.2">
      <c r="A150" s="6">
        <v>149</v>
      </c>
      <c r="B150" s="7" t="s">
        <v>1100</v>
      </c>
      <c r="C150" s="7" t="s">
        <v>1101</v>
      </c>
      <c r="D150" s="8" t="s">
        <v>78</v>
      </c>
      <c r="E150" s="7" t="s">
        <v>1102</v>
      </c>
      <c r="F150" s="7">
        <v>125</v>
      </c>
      <c r="G150" s="7">
        <v>1</v>
      </c>
      <c r="H150" s="7">
        <v>560</v>
      </c>
      <c r="I150" s="86">
        <v>20</v>
      </c>
      <c r="J150" s="7" t="s">
        <v>932</v>
      </c>
      <c r="K150" s="7"/>
      <c r="L150" s="7" t="s">
        <v>1103</v>
      </c>
      <c r="M150" s="9" t="b">
        <v>1</v>
      </c>
      <c r="N150" s="9" t="b">
        <v>1</v>
      </c>
      <c r="O150" s="7">
        <v>0</v>
      </c>
      <c r="P150" s="7" t="s">
        <v>268</v>
      </c>
      <c r="Q150" s="7" t="s">
        <v>226</v>
      </c>
      <c r="R150" s="8" t="s">
        <v>43</v>
      </c>
      <c r="S150" s="8" t="s">
        <v>793</v>
      </c>
      <c r="T150" s="7" t="s">
        <v>33</v>
      </c>
      <c r="U150" s="7" t="s">
        <v>33</v>
      </c>
      <c r="V150" s="7" t="s">
        <v>1104</v>
      </c>
      <c r="W150" s="7" t="s">
        <v>35</v>
      </c>
      <c r="X150" s="7" t="s">
        <v>168</v>
      </c>
      <c r="Y150" s="18" t="s">
        <v>1105</v>
      </c>
    </row>
    <row r="151" spans="1:25" x14ac:dyDescent="0.2">
      <c r="A151" s="11">
        <v>150</v>
      </c>
      <c r="B151" s="12" t="s">
        <v>1106</v>
      </c>
      <c r="C151" s="12" t="s">
        <v>1107</v>
      </c>
      <c r="D151" s="13" t="s">
        <v>86</v>
      </c>
      <c r="E151" s="12" t="s">
        <v>1108</v>
      </c>
      <c r="F151" s="12">
        <v>150</v>
      </c>
      <c r="G151" s="12">
        <v>300</v>
      </c>
      <c r="H151" s="12">
        <v>10</v>
      </c>
      <c r="I151" s="87">
        <v>5</v>
      </c>
      <c r="J151" s="12" t="s">
        <v>1109</v>
      </c>
      <c r="K151" s="12"/>
      <c r="L151" s="12"/>
      <c r="M151" s="14" t="b">
        <v>0</v>
      </c>
      <c r="N151" s="14" t="b">
        <v>0</v>
      </c>
      <c r="O151" s="12">
        <v>0</v>
      </c>
      <c r="P151" s="12" t="s">
        <v>268</v>
      </c>
      <c r="Q151" s="12" t="s">
        <v>1110</v>
      </c>
      <c r="R151" s="13" t="s">
        <v>62</v>
      </c>
      <c r="S151" s="13" t="s">
        <v>793</v>
      </c>
      <c r="T151" s="12" t="s">
        <v>33</v>
      </c>
      <c r="U151" s="12" t="s">
        <v>33</v>
      </c>
      <c r="V151" s="12" t="s">
        <v>1111</v>
      </c>
      <c r="W151" s="12" t="s">
        <v>11</v>
      </c>
      <c r="X151" s="12" t="s">
        <v>835</v>
      </c>
      <c r="Y151" s="17" t="s">
        <v>1112</v>
      </c>
    </row>
    <row r="152" spans="1:25" x14ac:dyDescent="0.2">
      <c r="A152" s="6">
        <v>151</v>
      </c>
      <c r="B152" s="7" t="s">
        <v>1113</v>
      </c>
      <c r="C152" s="7" t="s">
        <v>1114</v>
      </c>
      <c r="D152" s="8" t="s">
        <v>105</v>
      </c>
      <c r="E152" s="7" t="s">
        <v>1115</v>
      </c>
      <c r="F152" s="7">
        <v>150</v>
      </c>
      <c r="G152" s="7">
        <v>300</v>
      </c>
      <c r="H152" s="7">
        <v>40</v>
      </c>
      <c r="I152" s="86">
        <v>7</v>
      </c>
      <c r="J152" s="7" t="s">
        <v>1116</v>
      </c>
      <c r="K152" s="7"/>
      <c r="L152" s="7" t="s">
        <v>1117</v>
      </c>
      <c r="M152" s="9" t="b">
        <v>0</v>
      </c>
      <c r="N152" s="9" t="b">
        <v>0</v>
      </c>
      <c r="O152" s="7">
        <v>0</v>
      </c>
      <c r="P152" s="7" t="s">
        <v>855</v>
      </c>
      <c r="Q152" s="7" t="s">
        <v>1118</v>
      </c>
      <c r="R152" s="8" t="s">
        <v>72</v>
      </c>
      <c r="S152" s="8" t="s">
        <v>793</v>
      </c>
      <c r="T152" s="7">
        <v>525</v>
      </c>
      <c r="U152" s="7" t="s">
        <v>33</v>
      </c>
      <c r="V152" s="7" t="s">
        <v>1119</v>
      </c>
      <c r="W152" s="7" t="s">
        <v>111</v>
      </c>
      <c r="X152" s="7" t="s">
        <v>835</v>
      </c>
      <c r="Y152" s="18" t="s">
        <v>1120</v>
      </c>
    </row>
    <row r="153" spans="1:25" x14ac:dyDescent="0.2">
      <c r="A153" s="11">
        <v>152</v>
      </c>
      <c r="B153" s="12" t="s">
        <v>1121</v>
      </c>
      <c r="C153" s="12" t="s">
        <v>1122</v>
      </c>
      <c r="D153" s="13" t="s">
        <v>59</v>
      </c>
      <c r="E153" s="12" t="s">
        <v>1123</v>
      </c>
      <c r="F153" s="12">
        <v>75</v>
      </c>
      <c r="G153" s="12">
        <v>300</v>
      </c>
      <c r="H153" s="12">
        <v>2200</v>
      </c>
      <c r="I153" s="87">
        <v>20</v>
      </c>
      <c r="J153" s="12" t="s">
        <v>932</v>
      </c>
      <c r="K153" s="12"/>
      <c r="L153" s="12"/>
      <c r="M153" s="14" t="b">
        <v>1</v>
      </c>
      <c r="N153" s="14" t="b">
        <v>1</v>
      </c>
      <c r="O153" s="12">
        <v>0</v>
      </c>
      <c r="P153" s="12" t="s">
        <v>268</v>
      </c>
      <c r="Q153" s="12" t="s">
        <v>1124</v>
      </c>
      <c r="R153" s="13" t="s">
        <v>62</v>
      </c>
      <c r="S153" s="13" t="s">
        <v>793</v>
      </c>
      <c r="T153" s="12" t="s">
        <v>33</v>
      </c>
      <c r="U153" s="12" t="s">
        <v>33</v>
      </c>
      <c r="V153" s="12" t="s">
        <v>1125</v>
      </c>
      <c r="W153" s="12" t="s">
        <v>11</v>
      </c>
      <c r="X153" s="12" t="s">
        <v>835</v>
      </c>
      <c r="Y153" s="17" t="s">
        <v>1126</v>
      </c>
    </row>
    <row r="154" spans="1:25" x14ac:dyDescent="0.2">
      <c r="A154" s="6">
        <v>153</v>
      </c>
      <c r="B154" s="7" t="s">
        <v>1127</v>
      </c>
      <c r="C154" s="7" t="s">
        <v>1128</v>
      </c>
      <c r="D154" s="8" t="s">
        <v>49</v>
      </c>
      <c r="E154" s="7" t="s">
        <v>1129</v>
      </c>
      <c r="F154" s="7">
        <v>150</v>
      </c>
      <c r="G154" s="7">
        <v>6000</v>
      </c>
      <c r="H154" s="7">
        <v>95</v>
      </c>
      <c r="I154" s="86">
        <v>15</v>
      </c>
      <c r="J154" s="7" t="s">
        <v>1130</v>
      </c>
      <c r="K154" s="7"/>
      <c r="L154" s="7"/>
      <c r="M154" s="9" t="b">
        <v>0</v>
      </c>
      <c r="N154" s="9" t="b">
        <v>0</v>
      </c>
      <c r="O154" s="7">
        <v>0</v>
      </c>
      <c r="P154" s="7" t="s">
        <v>855</v>
      </c>
      <c r="Q154" s="7" t="s">
        <v>887</v>
      </c>
      <c r="R154" s="8" t="s">
        <v>270</v>
      </c>
      <c r="S154" s="8" t="s">
        <v>793</v>
      </c>
      <c r="T154" s="7" t="s">
        <v>33</v>
      </c>
      <c r="U154" s="7" t="s">
        <v>33</v>
      </c>
      <c r="V154" s="7" t="s">
        <v>1131</v>
      </c>
      <c r="W154" s="7" t="s">
        <v>54</v>
      </c>
      <c r="X154" s="7" t="s">
        <v>835</v>
      </c>
      <c r="Y154" s="18" t="s">
        <v>1132</v>
      </c>
    </row>
    <row r="155" spans="1:25" x14ac:dyDescent="0.2">
      <c r="A155" s="11">
        <v>154</v>
      </c>
      <c r="B155" s="12" t="s">
        <v>1133</v>
      </c>
      <c r="C155" s="12" t="s">
        <v>1134</v>
      </c>
      <c r="D155" s="13" t="s">
        <v>95</v>
      </c>
      <c r="E155" s="12" t="s">
        <v>1135</v>
      </c>
      <c r="F155" s="12">
        <v>25</v>
      </c>
      <c r="G155" s="12">
        <v>900</v>
      </c>
      <c r="H155" s="12">
        <v>100</v>
      </c>
      <c r="I155" s="87">
        <v>10</v>
      </c>
      <c r="J155" s="12" t="s">
        <v>1136</v>
      </c>
      <c r="K155" s="12"/>
      <c r="L155" s="12" t="s">
        <v>1137</v>
      </c>
      <c r="M155" s="14" t="b">
        <v>0</v>
      </c>
      <c r="N155" s="14" t="b">
        <v>0</v>
      </c>
      <c r="O155" s="12">
        <v>0</v>
      </c>
      <c r="P155" s="12" t="s">
        <v>180</v>
      </c>
      <c r="Q155" s="12" t="s">
        <v>129</v>
      </c>
      <c r="R155" s="13" t="s">
        <v>43</v>
      </c>
      <c r="S155" s="13" t="s">
        <v>793</v>
      </c>
      <c r="T155" s="12" t="s">
        <v>33</v>
      </c>
      <c r="U155" s="12" t="s">
        <v>33</v>
      </c>
      <c r="V155" s="12" t="s">
        <v>1138</v>
      </c>
      <c r="W155" s="12" t="s">
        <v>35</v>
      </c>
      <c r="X155" s="12" t="s">
        <v>168</v>
      </c>
      <c r="Y155" s="17" t="s">
        <v>1139</v>
      </c>
    </row>
    <row r="156" spans="1:25" x14ac:dyDescent="0.2">
      <c r="A156" s="6">
        <v>155</v>
      </c>
      <c r="B156" s="7" t="s">
        <v>1140</v>
      </c>
      <c r="C156" s="7" t="s">
        <v>1141</v>
      </c>
      <c r="D156" s="8" t="s">
        <v>78</v>
      </c>
      <c r="E156" s="7" t="s">
        <v>1142</v>
      </c>
      <c r="F156" s="7">
        <v>125</v>
      </c>
      <c r="G156" s="7">
        <v>1500</v>
      </c>
      <c r="H156" s="7">
        <v>30</v>
      </c>
      <c r="I156" s="86">
        <v>5</v>
      </c>
      <c r="J156" s="7" t="s">
        <v>1143</v>
      </c>
      <c r="K156" s="7"/>
      <c r="L156" s="7"/>
      <c r="M156" s="9" t="b">
        <v>0</v>
      </c>
      <c r="N156" s="9" t="b">
        <v>0</v>
      </c>
      <c r="O156" s="7">
        <v>0</v>
      </c>
      <c r="P156" s="7" t="s">
        <v>180</v>
      </c>
      <c r="Q156" s="7" t="s">
        <v>148</v>
      </c>
      <c r="R156" s="8" t="s">
        <v>187</v>
      </c>
      <c r="S156" s="8" t="s">
        <v>793</v>
      </c>
      <c r="T156" s="7" t="s">
        <v>33</v>
      </c>
      <c r="U156" s="7" t="s">
        <v>33</v>
      </c>
      <c r="V156" s="7" t="s">
        <v>1144</v>
      </c>
      <c r="W156" s="7" t="s">
        <v>11</v>
      </c>
      <c r="X156" s="7" t="s">
        <v>835</v>
      </c>
      <c r="Y156" s="18" t="s">
        <v>1145</v>
      </c>
    </row>
    <row r="157" spans="1:25" x14ac:dyDescent="0.2">
      <c r="A157" s="11">
        <v>156</v>
      </c>
      <c r="B157" s="12" t="s">
        <v>1146</v>
      </c>
      <c r="C157" s="12" t="s">
        <v>1147</v>
      </c>
      <c r="D157" s="13" t="s">
        <v>105</v>
      </c>
      <c r="E157" s="12" t="s">
        <v>1148</v>
      </c>
      <c r="F157" s="12">
        <v>100</v>
      </c>
      <c r="G157" s="12">
        <v>1</v>
      </c>
      <c r="H157" s="12">
        <v>50</v>
      </c>
      <c r="I157" s="87">
        <v>20</v>
      </c>
      <c r="J157" s="12" t="s">
        <v>932</v>
      </c>
      <c r="K157" s="12"/>
      <c r="L157" s="12" t="s">
        <v>1149</v>
      </c>
      <c r="M157" s="14" t="b">
        <v>1</v>
      </c>
      <c r="N157" s="14" t="b">
        <v>1</v>
      </c>
      <c r="O157" s="12">
        <v>0</v>
      </c>
      <c r="P157" s="12" t="s">
        <v>268</v>
      </c>
      <c r="Q157" s="12"/>
      <c r="R157" s="13" t="s">
        <v>72</v>
      </c>
      <c r="S157" s="13" t="s">
        <v>793</v>
      </c>
      <c r="T157" s="12" t="s">
        <v>33</v>
      </c>
      <c r="U157" s="12" t="s">
        <v>33</v>
      </c>
      <c r="V157" s="12" t="s">
        <v>1150</v>
      </c>
      <c r="W157" s="12" t="s">
        <v>111</v>
      </c>
      <c r="X157" s="12" t="s">
        <v>168</v>
      </c>
      <c r="Y157" s="17" t="s">
        <v>1151</v>
      </c>
    </row>
    <row r="158" spans="1:25" x14ac:dyDescent="0.2">
      <c r="A158" s="6">
        <v>157</v>
      </c>
      <c r="B158" s="7" t="s">
        <v>1152</v>
      </c>
      <c r="C158" s="7" t="s">
        <v>1153</v>
      </c>
      <c r="D158" s="8" t="s">
        <v>27</v>
      </c>
      <c r="E158" s="7" t="s">
        <v>1154</v>
      </c>
      <c r="F158" s="7">
        <v>400</v>
      </c>
      <c r="G158" s="7">
        <v>300</v>
      </c>
      <c r="H158" s="7">
        <v>20</v>
      </c>
      <c r="I158" s="86">
        <v>5</v>
      </c>
      <c r="J158" s="7" t="s">
        <v>1155</v>
      </c>
      <c r="K158" s="7"/>
      <c r="L158" s="7" t="s">
        <v>1156</v>
      </c>
      <c r="M158" s="9" t="b">
        <v>0</v>
      </c>
      <c r="N158" s="9" t="b">
        <v>0</v>
      </c>
      <c r="O158" s="7">
        <v>0</v>
      </c>
      <c r="P158" s="7" t="s">
        <v>268</v>
      </c>
      <c r="Q158" s="7"/>
      <c r="R158" s="8" t="s">
        <v>31</v>
      </c>
      <c r="S158" s="8" t="s">
        <v>793</v>
      </c>
      <c r="T158" s="7" t="s">
        <v>33</v>
      </c>
      <c r="U158" s="7" t="s">
        <v>33</v>
      </c>
      <c r="V158" s="7" t="s">
        <v>1157</v>
      </c>
      <c r="W158" s="7" t="s">
        <v>35</v>
      </c>
      <c r="X158" s="7" t="s">
        <v>835</v>
      </c>
      <c r="Y158" s="18" t="s">
        <v>1158</v>
      </c>
    </row>
    <row r="159" spans="1:25" x14ac:dyDescent="0.2">
      <c r="A159" s="11">
        <v>158</v>
      </c>
      <c r="B159" s="12" t="s">
        <v>1159</v>
      </c>
      <c r="C159" s="12" t="s">
        <v>1160</v>
      </c>
      <c r="D159" s="13" t="s">
        <v>356</v>
      </c>
      <c r="E159" s="12" t="s">
        <v>1161</v>
      </c>
      <c r="F159" s="12">
        <v>50</v>
      </c>
      <c r="G159" s="12">
        <v>300</v>
      </c>
      <c r="H159" s="12">
        <v>0</v>
      </c>
      <c r="I159" s="87">
        <v>15</v>
      </c>
      <c r="J159" s="12" t="s">
        <v>1162</v>
      </c>
      <c r="K159" s="12"/>
      <c r="L159" s="12" t="s">
        <v>1163</v>
      </c>
      <c r="M159" s="14" t="b">
        <v>0</v>
      </c>
      <c r="N159" s="14" t="b">
        <v>0</v>
      </c>
      <c r="O159" s="12">
        <v>0</v>
      </c>
      <c r="P159" s="12" t="s">
        <v>122</v>
      </c>
      <c r="Q159" s="12" t="s">
        <v>157</v>
      </c>
      <c r="R159" s="13" t="s">
        <v>62</v>
      </c>
      <c r="S159" s="13" t="s">
        <v>793</v>
      </c>
      <c r="T159" s="12" t="s">
        <v>33</v>
      </c>
      <c r="U159" s="12" t="s">
        <v>33</v>
      </c>
      <c r="V159" s="12" t="s">
        <v>1164</v>
      </c>
      <c r="W159" s="12" t="s">
        <v>11</v>
      </c>
      <c r="X159" s="12" t="s">
        <v>835</v>
      </c>
      <c r="Y159" s="17" t="s">
        <v>1165</v>
      </c>
    </row>
    <row r="160" spans="1:25" x14ac:dyDescent="0.2">
      <c r="A160" s="6">
        <v>159</v>
      </c>
      <c r="B160" s="7" t="s">
        <v>1166</v>
      </c>
      <c r="C160" s="7" t="s">
        <v>1167</v>
      </c>
      <c r="D160" s="8" t="s">
        <v>95</v>
      </c>
      <c r="E160" s="7" t="s">
        <v>1168</v>
      </c>
      <c r="F160" s="7">
        <v>25</v>
      </c>
      <c r="G160" s="7">
        <v>2500</v>
      </c>
      <c r="H160" s="7">
        <v>1100</v>
      </c>
      <c r="I160" s="86">
        <v>10</v>
      </c>
      <c r="J160" s="7" t="s">
        <v>1169</v>
      </c>
      <c r="K160" s="7"/>
      <c r="L160" s="7" t="s">
        <v>1170</v>
      </c>
      <c r="M160" s="9" t="b">
        <v>0</v>
      </c>
      <c r="N160" s="9" t="b">
        <v>0</v>
      </c>
      <c r="O160" s="7">
        <v>0</v>
      </c>
      <c r="P160" s="7" t="s">
        <v>180</v>
      </c>
      <c r="Q160" s="7" t="s">
        <v>1171</v>
      </c>
      <c r="R160" s="8" t="s">
        <v>740</v>
      </c>
      <c r="S160" s="8" t="s">
        <v>793</v>
      </c>
      <c r="T160" s="7" t="s">
        <v>33</v>
      </c>
      <c r="U160" s="7" t="s">
        <v>33</v>
      </c>
      <c r="V160" s="7" t="s">
        <v>1172</v>
      </c>
      <c r="W160" s="7" t="s">
        <v>11</v>
      </c>
      <c r="X160" s="7" t="s">
        <v>835</v>
      </c>
      <c r="Y160" s="18" t="s">
        <v>1173</v>
      </c>
    </row>
    <row r="161" spans="1:25" x14ac:dyDescent="0.2">
      <c r="A161" s="11">
        <v>160</v>
      </c>
      <c r="B161" s="12" t="s">
        <v>1174</v>
      </c>
      <c r="C161" s="12" t="s">
        <v>1174</v>
      </c>
      <c r="D161" s="13" t="s">
        <v>199</v>
      </c>
      <c r="E161" s="12" t="s">
        <v>1175</v>
      </c>
      <c r="F161" s="12">
        <v>100</v>
      </c>
      <c r="G161" s="12">
        <v>2700</v>
      </c>
      <c r="H161" s="12">
        <v>20</v>
      </c>
      <c r="I161" s="87">
        <v>20</v>
      </c>
      <c r="J161" s="12" t="s">
        <v>1176</v>
      </c>
      <c r="K161" s="12"/>
      <c r="L161" s="12" t="s">
        <v>1177</v>
      </c>
      <c r="M161" s="14" t="b">
        <v>0</v>
      </c>
      <c r="N161" s="14" t="b">
        <v>0</v>
      </c>
      <c r="O161" s="12">
        <v>0</v>
      </c>
      <c r="P161" s="12" t="s">
        <v>122</v>
      </c>
      <c r="Q161" s="12" t="s">
        <v>1178</v>
      </c>
      <c r="R161" s="13" t="s">
        <v>366</v>
      </c>
      <c r="S161" s="13" t="s">
        <v>793</v>
      </c>
      <c r="T161" s="12" t="s">
        <v>33</v>
      </c>
      <c r="U161" s="12" t="s">
        <v>33</v>
      </c>
      <c r="V161" s="12" t="s">
        <v>1179</v>
      </c>
      <c r="W161" s="12" t="s">
        <v>54</v>
      </c>
      <c r="X161" s="12" t="s">
        <v>168</v>
      </c>
      <c r="Y161" s="17" t="s">
        <v>1180</v>
      </c>
    </row>
    <row r="162" spans="1:25" x14ac:dyDescent="0.2">
      <c r="A162" s="6">
        <v>161</v>
      </c>
      <c r="B162" s="7" t="s">
        <v>1181</v>
      </c>
      <c r="C162" s="7" t="s">
        <v>1182</v>
      </c>
      <c r="D162" s="8" t="s">
        <v>135</v>
      </c>
      <c r="E162" s="7" t="s">
        <v>1183</v>
      </c>
      <c r="F162" s="7">
        <v>250</v>
      </c>
      <c r="G162" s="7">
        <v>300</v>
      </c>
      <c r="H162" s="7">
        <v>120</v>
      </c>
      <c r="I162" s="86">
        <v>5</v>
      </c>
      <c r="J162" s="7" t="s">
        <v>1184</v>
      </c>
      <c r="K162" s="7"/>
      <c r="L162" s="7" t="s">
        <v>1185</v>
      </c>
      <c r="M162" s="9" t="b">
        <v>0</v>
      </c>
      <c r="N162" s="9" t="b">
        <v>0</v>
      </c>
      <c r="O162" s="7">
        <v>0</v>
      </c>
      <c r="P162" s="7" t="s">
        <v>855</v>
      </c>
      <c r="Q162" s="7" t="s">
        <v>335</v>
      </c>
      <c r="R162" s="8" t="s">
        <v>43</v>
      </c>
      <c r="S162" s="8" t="s">
        <v>793</v>
      </c>
      <c r="T162" s="7" t="s">
        <v>33</v>
      </c>
      <c r="U162" s="7" t="s">
        <v>33</v>
      </c>
      <c r="V162" s="7" t="s">
        <v>1186</v>
      </c>
      <c r="W162" s="7" t="s">
        <v>35</v>
      </c>
      <c r="X162" s="7" t="s">
        <v>168</v>
      </c>
      <c r="Y162" s="18" t="s">
        <v>1187</v>
      </c>
    </row>
    <row r="163" spans="1:25" x14ac:dyDescent="0.2">
      <c r="A163" s="11">
        <v>162</v>
      </c>
      <c r="B163" s="12" t="s">
        <v>1188</v>
      </c>
      <c r="C163" s="12" t="s">
        <v>1189</v>
      </c>
      <c r="D163" s="13" t="s">
        <v>86</v>
      </c>
      <c r="E163" s="12" t="s">
        <v>1190</v>
      </c>
      <c r="F163" s="12">
        <v>100</v>
      </c>
      <c r="G163" s="12">
        <v>1</v>
      </c>
      <c r="H163" s="12">
        <v>1200</v>
      </c>
      <c r="I163" s="87">
        <v>15</v>
      </c>
      <c r="J163" s="12" t="s">
        <v>932</v>
      </c>
      <c r="K163" s="12"/>
      <c r="L163" s="12"/>
      <c r="M163" s="14" t="b">
        <v>1</v>
      </c>
      <c r="N163" s="14" t="b">
        <v>1</v>
      </c>
      <c r="O163" s="12">
        <v>0</v>
      </c>
      <c r="P163" s="12" t="s">
        <v>180</v>
      </c>
      <c r="Q163" s="12" t="s">
        <v>1191</v>
      </c>
      <c r="R163" s="13" t="s">
        <v>698</v>
      </c>
      <c r="S163" s="13" t="s">
        <v>793</v>
      </c>
      <c r="T163" s="12" t="s">
        <v>33</v>
      </c>
      <c r="U163" s="12" t="s">
        <v>33</v>
      </c>
      <c r="V163" s="12" t="s">
        <v>1192</v>
      </c>
      <c r="W163" s="12" t="s">
        <v>11</v>
      </c>
      <c r="X163" s="12" t="s">
        <v>1193</v>
      </c>
      <c r="Y163" s="17" t="s">
        <v>1194</v>
      </c>
    </row>
    <row r="164" spans="1:25" x14ac:dyDescent="0.2">
      <c r="A164" s="6">
        <v>163</v>
      </c>
      <c r="B164" s="7" t="s">
        <v>1195</v>
      </c>
      <c r="C164" s="7" t="s">
        <v>1195</v>
      </c>
      <c r="D164" s="8" t="s">
        <v>105</v>
      </c>
      <c r="E164" s="7" t="s">
        <v>1196</v>
      </c>
      <c r="F164" s="7">
        <v>150</v>
      </c>
      <c r="G164" s="7">
        <v>175</v>
      </c>
      <c r="H164" s="7">
        <v>50</v>
      </c>
      <c r="I164" s="86">
        <v>12</v>
      </c>
      <c r="J164" s="7" t="s">
        <v>1197</v>
      </c>
      <c r="K164" s="7"/>
      <c r="L164" s="7" t="s">
        <v>1198</v>
      </c>
      <c r="M164" s="9" t="b">
        <v>0</v>
      </c>
      <c r="N164" s="9" t="b">
        <v>0</v>
      </c>
      <c r="O164" s="7">
        <v>0</v>
      </c>
      <c r="P164" s="7" t="s">
        <v>268</v>
      </c>
      <c r="Q164" s="7" t="s">
        <v>1118</v>
      </c>
      <c r="R164" s="8" t="s">
        <v>531</v>
      </c>
      <c r="S164" s="8" t="s">
        <v>793</v>
      </c>
      <c r="T164" s="7" t="s">
        <v>33</v>
      </c>
      <c r="U164" s="7">
        <v>350</v>
      </c>
      <c r="V164" s="7" t="s">
        <v>1199</v>
      </c>
      <c r="W164" s="7" t="s">
        <v>111</v>
      </c>
      <c r="X164" s="7" t="s">
        <v>168</v>
      </c>
      <c r="Y164" s="18" t="s">
        <v>1200</v>
      </c>
    </row>
    <row r="165" spans="1:25" x14ac:dyDescent="0.2">
      <c r="A165" s="11">
        <v>164</v>
      </c>
      <c r="B165" s="12" t="s">
        <v>1201</v>
      </c>
      <c r="C165" s="12" t="s">
        <v>1202</v>
      </c>
      <c r="D165" s="13" t="s">
        <v>216</v>
      </c>
      <c r="E165" s="12" t="s">
        <v>1203</v>
      </c>
      <c r="F165" s="12">
        <v>50</v>
      </c>
      <c r="G165" s="12">
        <v>300</v>
      </c>
      <c r="H165" s="12">
        <v>22</v>
      </c>
      <c r="I165" s="87">
        <v>15</v>
      </c>
      <c r="J165" s="12" t="s">
        <v>1204</v>
      </c>
      <c r="K165" s="12"/>
      <c r="L165" s="12" t="s">
        <v>1205</v>
      </c>
      <c r="M165" s="14" t="b">
        <v>1</v>
      </c>
      <c r="N165" s="14" t="b">
        <v>0</v>
      </c>
      <c r="O165" s="12">
        <v>0</v>
      </c>
      <c r="P165" s="12" t="s">
        <v>122</v>
      </c>
      <c r="Q165" s="12" t="s">
        <v>1206</v>
      </c>
      <c r="R165" s="13" t="s">
        <v>43</v>
      </c>
      <c r="S165" s="13" t="s">
        <v>793</v>
      </c>
      <c r="T165" s="12" t="s">
        <v>33</v>
      </c>
      <c r="U165" s="12">
        <v>7</v>
      </c>
      <c r="V165" s="12" t="s">
        <v>1207</v>
      </c>
      <c r="W165" s="12" t="s">
        <v>11</v>
      </c>
      <c r="X165" s="12" t="s">
        <v>835</v>
      </c>
      <c r="Y165" s="17" t="s">
        <v>1208</v>
      </c>
    </row>
    <row r="166" spans="1:25" x14ac:dyDescent="0.2">
      <c r="A166" s="6">
        <v>165</v>
      </c>
      <c r="B166" s="7" t="s">
        <v>1209</v>
      </c>
      <c r="C166" s="7" t="s">
        <v>1210</v>
      </c>
      <c r="D166" s="8" t="s">
        <v>68</v>
      </c>
      <c r="E166" s="7" t="s">
        <v>1211</v>
      </c>
      <c r="F166" s="7">
        <v>225</v>
      </c>
      <c r="G166" s="7">
        <v>175</v>
      </c>
      <c r="H166" s="7">
        <v>120</v>
      </c>
      <c r="I166" s="86">
        <v>12</v>
      </c>
      <c r="J166" s="7" t="s">
        <v>1212</v>
      </c>
      <c r="K166" s="7" t="s">
        <v>1213</v>
      </c>
      <c r="L166" s="7"/>
      <c r="M166" s="9" t="b">
        <v>0</v>
      </c>
      <c r="N166" s="9" t="b">
        <v>0</v>
      </c>
      <c r="O166" s="7">
        <v>0</v>
      </c>
      <c r="P166" s="7" t="s">
        <v>268</v>
      </c>
      <c r="Q166" s="7" t="s">
        <v>226</v>
      </c>
      <c r="R166" s="8" t="s">
        <v>187</v>
      </c>
      <c r="S166" s="8" t="s">
        <v>793</v>
      </c>
      <c r="T166" s="7" t="s">
        <v>33</v>
      </c>
      <c r="U166" s="7">
        <v>90</v>
      </c>
      <c r="V166" s="7" t="s">
        <v>1214</v>
      </c>
      <c r="W166" s="7" t="s">
        <v>35</v>
      </c>
      <c r="X166" s="7" t="s">
        <v>835</v>
      </c>
      <c r="Y166" s="18" t="s">
        <v>1215</v>
      </c>
    </row>
    <row r="167" spans="1:25" x14ac:dyDescent="0.2">
      <c r="A167" s="11">
        <v>166</v>
      </c>
      <c r="B167" s="12" t="s">
        <v>1216</v>
      </c>
      <c r="C167" s="12" t="s">
        <v>1217</v>
      </c>
      <c r="D167" s="13" t="s">
        <v>78</v>
      </c>
      <c r="E167" s="12" t="s">
        <v>1218</v>
      </c>
      <c r="F167" s="12">
        <v>175</v>
      </c>
      <c r="G167" s="12">
        <v>300</v>
      </c>
      <c r="H167" s="12">
        <v>95</v>
      </c>
      <c r="I167" s="87">
        <v>12</v>
      </c>
      <c r="J167" s="12" t="s">
        <v>1219</v>
      </c>
      <c r="K167" s="12" t="s">
        <v>1220</v>
      </c>
      <c r="L167" s="12"/>
      <c r="M167" s="14" t="b">
        <v>0</v>
      </c>
      <c r="N167" s="14" t="b">
        <v>0</v>
      </c>
      <c r="O167" s="12">
        <v>0</v>
      </c>
      <c r="P167" s="12" t="s">
        <v>180</v>
      </c>
      <c r="Q167" s="12" t="s">
        <v>476</v>
      </c>
      <c r="R167" s="13" t="s">
        <v>43</v>
      </c>
      <c r="S167" s="13" t="s">
        <v>793</v>
      </c>
      <c r="T167" s="12" t="s">
        <v>33</v>
      </c>
      <c r="U167" s="12">
        <v>70</v>
      </c>
      <c r="V167" s="12" t="s">
        <v>1221</v>
      </c>
      <c r="W167" s="12" t="s">
        <v>35</v>
      </c>
      <c r="X167" s="12" t="s">
        <v>168</v>
      </c>
      <c r="Y167" s="17" t="s">
        <v>1222</v>
      </c>
    </row>
    <row r="168" spans="1:25" x14ac:dyDescent="0.2">
      <c r="A168" s="6">
        <v>167</v>
      </c>
      <c r="B168" s="7" t="s">
        <v>1223</v>
      </c>
      <c r="C168" s="7" t="s">
        <v>1224</v>
      </c>
      <c r="D168" s="8" t="s">
        <v>356</v>
      </c>
      <c r="E168" s="7" t="s">
        <v>1225</v>
      </c>
      <c r="F168" s="7">
        <v>300</v>
      </c>
      <c r="G168" s="7">
        <v>300</v>
      </c>
      <c r="H168" s="7">
        <v>20</v>
      </c>
      <c r="I168" s="86">
        <v>20</v>
      </c>
      <c r="J168" s="7" t="s">
        <v>1226</v>
      </c>
      <c r="K168" s="7" t="s">
        <v>1227</v>
      </c>
      <c r="L168" s="7"/>
      <c r="M168" s="9" t="b">
        <v>0</v>
      </c>
      <c r="N168" s="9" t="b">
        <v>0</v>
      </c>
      <c r="O168" s="7">
        <v>0</v>
      </c>
      <c r="P168" s="7" t="s">
        <v>180</v>
      </c>
      <c r="Q168" s="7" t="s">
        <v>1228</v>
      </c>
      <c r="R168" s="8" t="s">
        <v>43</v>
      </c>
      <c r="S168" s="8" t="s">
        <v>793</v>
      </c>
      <c r="T168" s="7" t="s">
        <v>33</v>
      </c>
      <c r="U168" s="7" t="s">
        <v>33</v>
      </c>
      <c r="V168" s="7" t="s">
        <v>1229</v>
      </c>
      <c r="W168" s="7" t="s">
        <v>35</v>
      </c>
      <c r="X168" s="7" t="s">
        <v>168</v>
      </c>
      <c r="Y168" s="18" t="s">
        <v>1230</v>
      </c>
    </row>
    <row r="169" spans="1:25" x14ac:dyDescent="0.2">
      <c r="A169" s="11">
        <v>168</v>
      </c>
      <c r="B169" s="12" t="s">
        <v>1231</v>
      </c>
      <c r="C169" s="12" t="s">
        <v>1232</v>
      </c>
      <c r="D169" s="13" t="s">
        <v>199</v>
      </c>
      <c r="E169" s="19" t="s">
        <v>1233</v>
      </c>
      <c r="F169" s="12">
        <v>25</v>
      </c>
      <c r="G169" s="12">
        <v>300</v>
      </c>
      <c r="H169" s="12">
        <v>20</v>
      </c>
      <c r="I169" s="87">
        <v>5</v>
      </c>
      <c r="J169" s="12" t="s">
        <v>1234</v>
      </c>
      <c r="K169" s="12" t="s">
        <v>1235</v>
      </c>
      <c r="L169" s="12"/>
      <c r="M169" s="14" t="b">
        <v>0</v>
      </c>
      <c r="N169" s="14" t="b">
        <v>0</v>
      </c>
      <c r="O169" s="12">
        <v>0</v>
      </c>
      <c r="P169" s="12" t="s">
        <v>122</v>
      </c>
      <c r="Q169" s="12" t="s">
        <v>1236</v>
      </c>
      <c r="R169" s="13" t="s">
        <v>366</v>
      </c>
      <c r="S169" s="13" t="s">
        <v>793</v>
      </c>
      <c r="T169" s="12" t="s">
        <v>33</v>
      </c>
      <c r="U169" s="12">
        <v>0</v>
      </c>
      <c r="V169" s="12" t="s">
        <v>1237</v>
      </c>
      <c r="W169" s="12" t="s">
        <v>35</v>
      </c>
      <c r="X169" s="12" t="s">
        <v>1238</v>
      </c>
      <c r="Y169" s="17" t="s">
        <v>1239</v>
      </c>
    </row>
    <row r="170" spans="1:25" x14ac:dyDescent="0.2">
      <c r="A170" s="6">
        <v>169</v>
      </c>
      <c r="B170" s="7" t="s">
        <v>1240</v>
      </c>
      <c r="C170" s="7" t="s">
        <v>1241</v>
      </c>
      <c r="D170" s="8" t="s">
        <v>78</v>
      </c>
      <c r="E170" s="7" t="s">
        <v>1242</v>
      </c>
      <c r="F170" s="7">
        <v>175</v>
      </c>
      <c r="G170" s="7">
        <v>600</v>
      </c>
      <c r="H170" s="7">
        <v>70</v>
      </c>
      <c r="I170" s="86">
        <v>15</v>
      </c>
      <c r="J170" s="7" t="s">
        <v>1243</v>
      </c>
      <c r="K170" s="7" t="s">
        <v>1244</v>
      </c>
      <c r="L170" s="7" t="s">
        <v>1245</v>
      </c>
      <c r="M170" s="9" t="b">
        <v>0</v>
      </c>
      <c r="N170" s="9" t="b">
        <v>0</v>
      </c>
      <c r="O170" s="7">
        <v>0</v>
      </c>
      <c r="P170" s="7" t="s">
        <v>268</v>
      </c>
      <c r="Q170" s="7"/>
      <c r="R170" s="8" t="s">
        <v>740</v>
      </c>
      <c r="S170" s="8" t="s">
        <v>793</v>
      </c>
      <c r="T170" s="7">
        <v>1400</v>
      </c>
      <c r="U170" s="7" t="s">
        <v>33</v>
      </c>
      <c r="V170" s="7" t="s">
        <v>1246</v>
      </c>
      <c r="W170" s="7" t="s">
        <v>111</v>
      </c>
      <c r="X170" s="7" t="s">
        <v>168</v>
      </c>
      <c r="Y170" s="18" t="s">
        <v>1247</v>
      </c>
    </row>
    <row r="171" spans="1:25" x14ac:dyDescent="0.2">
      <c r="A171" s="11">
        <v>170</v>
      </c>
      <c r="B171" s="12" t="s">
        <v>1248</v>
      </c>
      <c r="C171" s="12" t="s">
        <v>1249</v>
      </c>
      <c r="D171" s="13" t="s">
        <v>40</v>
      </c>
      <c r="E171" s="12" t="s">
        <v>1250</v>
      </c>
      <c r="F171" s="12">
        <v>100</v>
      </c>
      <c r="G171" s="12">
        <v>300</v>
      </c>
      <c r="H171" s="12">
        <v>26</v>
      </c>
      <c r="I171" s="87">
        <v>15</v>
      </c>
      <c r="J171" s="12" t="s">
        <v>1251</v>
      </c>
      <c r="K171" s="12" t="s">
        <v>1252</v>
      </c>
      <c r="L171" s="12" t="s">
        <v>1253</v>
      </c>
      <c r="M171" s="14" t="b">
        <v>0</v>
      </c>
      <c r="N171" s="14" t="b">
        <v>0</v>
      </c>
      <c r="O171" s="12">
        <v>50</v>
      </c>
      <c r="P171" s="12" t="s">
        <v>180</v>
      </c>
      <c r="Q171" s="12" t="s">
        <v>1254</v>
      </c>
      <c r="R171" s="13" t="s">
        <v>43</v>
      </c>
      <c r="S171" s="13" t="s">
        <v>793</v>
      </c>
      <c r="T171" s="12" t="s">
        <v>33</v>
      </c>
      <c r="U171" s="12" t="s">
        <v>33</v>
      </c>
      <c r="V171" s="12" t="s">
        <v>1255</v>
      </c>
      <c r="W171" s="12" t="s">
        <v>45</v>
      </c>
      <c r="X171" s="12" t="s">
        <v>835</v>
      </c>
      <c r="Y171" s="17" t="s">
        <v>1256</v>
      </c>
    </row>
    <row r="172" spans="1:25" x14ac:dyDescent="0.2">
      <c r="A172" s="6">
        <v>171</v>
      </c>
      <c r="B172" s="7" t="s">
        <v>1257</v>
      </c>
      <c r="C172" s="7" t="s">
        <v>1258</v>
      </c>
      <c r="D172" s="8" t="s">
        <v>49</v>
      </c>
      <c r="E172" s="7" t="s">
        <v>1259</v>
      </c>
      <c r="F172" s="7">
        <v>75</v>
      </c>
      <c r="G172" s="7">
        <v>2000</v>
      </c>
      <c r="H172" s="7">
        <v>30</v>
      </c>
      <c r="I172" s="86">
        <v>12</v>
      </c>
      <c r="J172" s="7" t="s">
        <v>1260</v>
      </c>
      <c r="K172" s="7" t="s">
        <v>1261</v>
      </c>
      <c r="L172" s="7"/>
      <c r="M172" s="9" t="b">
        <v>0</v>
      </c>
      <c r="N172" s="9" t="b">
        <v>0</v>
      </c>
      <c r="O172" s="7">
        <v>0</v>
      </c>
      <c r="P172" s="7" t="s">
        <v>180</v>
      </c>
      <c r="Q172" s="7" t="s">
        <v>109</v>
      </c>
      <c r="R172" s="8" t="s">
        <v>158</v>
      </c>
      <c r="S172" s="8" t="s">
        <v>793</v>
      </c>
      <c r="T172" s="7" t="s">
        <v>33</v>
      </c>
      <c r="U172" s="7">
        <v>1400</v>
      </c>
      <c r="V172" s="7" t="s">
        <v>1262</v>
      </c>
      <c r="W172" s="7" t="s">
        <v>111</v>
      </c>
      <c r="X172" s="7" t="s">
        <v>835</v>
      </c>
      <c r="Y172" s="18" t="s">
        <v>1263</v>
      </c>
    </row>
    <row r="173" spans="1:25" x14ac:dyDescent="0.2">
      <c r="A173" s="11">
        <v>172</v>
      </c>
      <c r="B173" s="12" t="s">
        <v>1264</v>
      </c>
      <c r="C173" s="12" t="s">
        <v>1265</v>
      </c>
      <c r="D173" s="13" t="s">
        <v>199</v>
      </c>
      <c r="E173" s="19" t="s">
        <v>1266</v>
      </c>
      <c r="F173" s="12">
        <v>300</v>
      </c>
      <c r="G173" s="12">
        <v>300</v>
      </c>
      <c r="H173" s="12">
        <v>30</v>
      </c>
      <c r="I173" s="87">
        <v>5</v>
      </c>
      <c r="J173" s="12" t="s">
        <v>1267</v>
      </c>
      <c r="K173" s="12" t="s">
        <v>1268</v>
      </c>
      <c r="L173" s="12"/>
      <c r="M173" s="14" t="b">
        <v>0</v>
      </c>
      <c r="N173" s="14" t="b">
        <v>0</v>
      </c>
      <c r="O173" s="12">
        <v>0</v>
      </c>
      <c r="P173" s="12" t="s">
        <v>666</v>
      </c>
      <c r="Q173" s="12" t="s">
        <v>1269</v>
      </c>
      <c r="R173" s="13" t="s">
        <v>366</v>
      </c>
      <c r="S173" s="13" t="s">
        <v>793</v>
      </c>
      <c r="T173" s="12" t="s">
        <v>33</v>
      </c>
      <c r="U173" s="12" t="s">
        <v>33</v>
      </c>
      <c r="V173" s="12" t="s">
        <v>1270</v>
      </c>
      <c r="W173" s="12" t="s">
        <v>35</v>
      </c>
      <c r="X173" s="12" t="s">
        <v>1271</v>
      </c>
      <c r="Y173" s="17" t="s">
        <v>1272</v>
      </c>
    </row>
    <row r="174" spans="1:25" x14ac:dyDescent="0.2">
      <c r="A174" s="6">
        <v>173</v>
      </c>
      <c r="B174" s="7" t="s">
        <v>1273</v>
      </c>
      <c r="C174" s="7" t="s">
        <v>1274</v>
      </c>
      <c r="D174" s="8" t="s">
        <v>95</v>
      </c>
      <c r="E174" s="7" t="s">
        <v>1275</v>
      </c>
      <c r="F174" s="7">
        <v>75</v>
      </c>
      <c r="G174" s="7">
        <v>1</v>
      </c>
      <c r="H174" s="7">
        <v>65</v>
      </c>
      <c r="I174" s="86">
        <v>10</v>
      </c>
      <c r="J174" s="7" t="s">
        <v>932</v>
      </c>
      <c r="K174" s="7" t="s">
        <v>1276</v>
      </c>
      <c r="L174" s="7"/>
      <c r="M174" s="9" t="b">
        <v>1</v>
      </c>
      <c r="N174" s="9" t="b">
        <v>1</v>
      </c>
      <c r="O174" s="7">
        <v>0</v>
      </c>
      <c r="P174" s="7" t="s">
        <v>180</v>
      </c>
      <c r="Q174" s="7" t="s">
        <v>203</v>
      </c>
      <c r="R174" s="8" t="s">
        <v>187</v>
      </c>
      <c r="S174" s="8" t="s">
        <v>793</v>
      </c>
      <c r="T174" s="7" t="s">
        <v>33</v>
      </c>
      <c r="U174" s="7">
        <v>20</v>
      </c>
      <c r="V174" s="7" t="s">
        <v>1277</v>
      </c>
      <c r="W174" s="7" t="s">
        <v>11</v>
      </c>
      <c r="X174" s="7" t="s">
        <v>835</v>
      </c>
      <c r="Y174" s="18" t="s">
        <v>1278</v>
      </c>
    </row>
    <row r="175" spans="1:25" x14ac:dyDescent="0.2">
      <c r="A175" s="11">
        <v>174</v>
      </c>
      <c r="B175" s="12" t="s">
        <v>1279</v>
      </c>
      <c r="C175" s="12" t="s">
        <v>1280</v>
      </c>
      <c r="D175" s="13" t="s">
        <v>59</v>
      </c>
      <c r="E175" s="12" t="s">
        <v>1281</v>
      </c>
      <c r="F175" s="12">
        <v>100</v>
      </c>
      <c r="G175" s="12">
        <v>1</v>
      </c>
      <c r="H175" s="12">
        <v>1000</v>
      </c>
      <c r="I175" s="87">
        <v>35</v>
      </c>
      <c r="J175" s="12" t="s">
        <v>932</v>
      </c>
      <c r="K175" s="12" t="s">
        <v>1282</v>
      </c>
      <c r="L175" s="12"/>
      <c r="M175" s="14" t="b">
        <v>1</v>
      </c>
      <c r="N175" s="14" t="b">
        <v>1</v>
      </c>
      <c r="O175" s="12">
        <v>0</v>
      </c>
      <c r="P175" s="12" t="s">
        <v>180</v>
      </c>
      <c r="Q175" s="12" t="s">
        <v>1283</v>
      </c>
      <c r="R175" s="13" t="s">
        <v>72</v>
      </c>
      <c r="S175" s="13" t="s">
        <v>793</v>
      </c>
      <c r="T175" s="12" t="s">
        <v>33</v>
      </c>
      <c r="U175" s="12">
        <v>25</v>
      </c>
      <c r="V175" s="12" t="s">
        <v>1284</v>
      </c>
      <c r="W175" s="12" t="s">
        <v>11</v>
      </c>
      <c r="X175" s="12" t="s">
        <v>835</v>
      </c>
      <c r="Y175" s="17" t="s">
        <v>1285</v>
      </c>
    </row>
    <row r="176" spans="1:25" x14ac:dyDescent="0.2">
      <c r="A176" s="6">
        <v>175</v>
      </c>
      <c r="B176" s="7" t="s">
        <v>1286</v>
      </c>
      <c r="C176" s="7" t="s">
        <v>1287</v>
      </c>
      <c r="D176" s="8" t="s">
        <v>86</v>
      </c>
      <c r="E176" s="7" t="s">
        <v>1288</v>
      </c>
      <c r="F176" s="7">
        <v>175</v>
      </c>
      <c r="G176" s="7">
        <v>550</v>
      </c>
      <c r="H176" s="7">
        <v>200</v>
      </c>
      <c r="I176" s="86">
        <v>12</v>
      </c>
      <c r="J176" s="7" t="s">
        <v>1289</v>
      </c>
      <c r="K176" s="7" t="s">
        <v>1290</v>
      </c>
      <c r="L176" s="7"/>
      <c r="M176" s="9" t="b">
        <v>0</v>
      </c>
      <c r="N176" s="9" t="b">
        <v>0</v>
      </c>
      <c r="O176" s="7">
        <v>0</v>
      </c>
      <c r="P176" s="7" t="s">
        <v>268</v>
      </c>
      <c r="Q176" s="7" t="s">
        <v>240</v>
      </c>
      <c r="R176" s="8" t="s">
        <v>366</v>
      </c>
      <c r="S176" s="8" t="s">
        <v>793</v>
      </c>
      <c r="T176" s="7" t="s">
        <v>33</v>
      </c>
      <c r="U176" s="7">
        <v>0</v>
      </c>
      <c r="V176" s="7" t="s">
        <v>1291</v>
      </c>
      <c r="W176" s="7" t="s">
        <v>111</v>
      </c>
      <c r="X176" s="7" t="s">
        <v>1292</v>
      </c>
      <c r="Y176" s="18" t="s">
        <v>1293</v>
      </c>
    </row>
    <row r="177" spans="1:25" x14ac:dyDescent="0.2">
      <c r="A177" s="11">
        <v>176</v>
      </c>
      <c r="B177" s="12" t="s">
        <v>1294</v>
      </c>
      <c r="C177" s="12" t="s">
        <v>1295</v>
      </c>
      <c r="D177" s="13" t="s">
        <v>505</v>
      </c>
      <c r="E177" s="12" t="s">
        <v>1296</v>
      </c>
      <c r="F177" s="12">
        <v>200</v>
      </c>
      <c r="G177" s="12">
        <v>350</v>
      </c>
      <c r="H177" s="12">
        <v>100</v>
      </c>
      <c r="I177" s="87">
        <v>10</v>
      </c>
      <c r="J177" s="12" t="s">
        <v>1297</v>
      </c>
      <c r="K177" s="12" t="s">
        <v>1298</v>
      </c>
      <c r="L177" s="12" t="s">
        <v>1299</v>
      </c>
      <c r="M177" s="14" t="b">
        <v>0</v>
      </c>
      <c r="N177" s="14" t="b">
        <v>0</v>
      </c>
      <c r="O177" s="12">
        <v>0</v>
      </c>
      <c r="P177" s="12" t="s">
        <v>268</v>
      </c>
      <c r="Q177" s="12" t="s">
        <v>1300</v>
      </c>
      <c r="R177" s="13" t="s">
        <v>130</v>
      </c>
      <c r="S177" s="13" t="s">
        <v>793</v>
      </c>
      <c r="T177" s="12">
        <v>300</v>
      </c>
      <c r="U177" s="12">
        <v>70</v>
      </c>
      <c r="V177" s="12" t="s">
        <v>1301</v>
      </c>
      <c r="W177" s="12" t="s">
        <v>35</v>
      </c>
      <c r="X177" s="12" t="s">
        <v>168</v>
      </c>
      <c r="Y177" s="17" t="s">
        <v>1302</v>
      </c>
    </row>
    <row r="178" spans="1:25" x14ac:dyDescent="0.2">
      <c r="A178" s="6">
        <v>177</v>
      </c>
      <c r="B178" s="7" t="s">
        <v>1303</v>
      </c>
      <c r="C178" s="7" t="s">
        <v>1304</v>
      </c>
      <c r="D178" s="8" t="s">
        <v>216</v>
      </c>
      <c r="E178" s="7" t="s">
        <v>1305</v>
      </c>
      <c r="F178" s="7">
        <v>125</v>
      </c>
      <c r="G178" s="7">
        <v>300</v>
      </c>
      <c r="H178" s="7">
        <v>30</v>
      </c>
      <c r="I178" s="86">
        <v>15</v>
      </c>
      <c r="J178" s="7" t="s">
        <v>1306</v>
      </c>
      <c r="K178" s="7" t="s">
        <v>1307</v>
      </c>
      <c r="L178" s="7" t="s">
        <v>1308</v>
      </c>
      <c r="M178" s="9" t="b">
        <v>0</v>
      </c>
      <c r="N178" s="9" t="b">
        <v>0</v>
      </c>
      <c r="O178" s="7">
        <v>0</v>
      </c>
      <c r="P178" s="7" t="s">
        <v>180</v>
      </c>
      <c r="Q178" s="7" t="s">
        <v>1309</v>
      </c>
      <c r="R178" s="8" t="s">
        <v>130</v>
      </c>
      <c r="S178" s="8" t="s">
        <v>793</v>
      </c>
      <c r="T178" s="7" t="s">
        <v>33</v>
      </c>
      <c r="U178" s="7">
        <v>65</v>
      </c>
      <c r="V178" s="7" t="s">
        <v>1310</v>
      </c>
      <c r="W178" s="7" t="s">
        <v>35</v>
      </c>
      <c r="X178" s="7" t="s">
        <v>168</v>
      </c>
      <c r="Y178" s="18" t="s">
        <v>1311</v>
      </c>
    </row>
    <row r="179" spans="1:25" x14ac:dyDescent="0.2">
      <c r="A179" s="11">
        <v>178</v>
      </c>
      <c r="B179" s="12" t="s">
        <v>1312</v>
      </c>
      <c r="C179" s="12" t="s">
        <v>1313</v>
      </c>
      <c r="D179" s="13" t="s">
        <v>199</v>
      </c>
      <c r="E179" s="12" t="s">
        <v>1314</v>
      </c>
      <c r="F179" s="12">
        <v>0</v>
      </c>
      <c r="G179" s="12">
        <v>300</v>
      </c>
      <c r="H179" s="12">
        <v>30</v>
      </c>
      <c r="I179" s="87">
        <v>5</v>
      </c>
      <c r="J179" s="12" t="s">
        <v>1315</v>
      </c>
      <c r="K179" s="12" t="s">
        <v>1316</v>
      </c>
      <c r="L179" s="12"/>
      <c r="M179" s="14" t="b">
        <v>0</v>
      </c>
      <c r="N179" s="14" t="b">
        <v>0</v>
      </c>
      <c r="O179" s="12">
        <v>0</v>
      </c>
      <c r="P179" s="12" t="s">
        <v>30</v>
      </c>
      <c r="Q179" s="12" t="s">
        <v>1317</v>
      </c>
      <c r="R179" s="13" t="s">
        <v>366</v>
      </c>
      <c r="S179" s="13" t="s">
        <v>793</v>
      </c>
      <c r="T179" s="12" t="s">
        <v>33</v>
      </c>
      <c r="U179" s="12" t="s">
        <v>33</v>
      </c>
      <c r="V179" s="12" t="s">
        <v>1318</v>
      </c>
      <c r="W179" s="12" t="s">
        <v>111</v>
      </c>
      <c r="X179" s="12" t="s">
        <v>1319</v>
      </c>
      <c r="Y179" s="17" t="s">
        <v>1320</v>
      </c>
    </row>
    <row r="180" spans="1:25" x14ac:dyDescent="0.2">
      <c r="A180" s="6">
        <v>179</v>
      </c>
      <c r="B180" s="7" t="s">
        <v>1321</v>
      </c>
      <c r="C180" s="7" t="s">
        <v>1322</v>
      </c>
      <c r="D180" s="8" t="s">
        <v>49</v>
      </c>
      <c r="E180" s="7" t="s">
        <v>1323</v>
      </c>
      <c r="F180" s="7">
        <v>200</v>
      </c>
      <c r="G180" s="7">
        <v>1100</v>
      </c>
      <c r="H180" s="7">
        <v>750</v>
      </c>
      <c r="I180" s="86">
        <v>30</v>
      </c>
      <c r="J180" s="7" t="s">
        <v>1324</v>
      </c>
      <c r="K180" s="7" t="s">
        <v>1325</v>
      </c>
      <c r="L180" s="7"/>
      <c r="M180" s="9" t="b">
        <v>0</v>
      </c>
      <c r="N180" s="9" t="b">
        <v>0</v>
      </c>
      <c r="O180" s="7">
        <v>0</v>
      </c>
      <c r="P180" s="7" t="s">
        <v>268</v>
      </c>
      <c r="Q180" s="7" t="s">
        <v>1010</v>
      </c>
      <c r="R180" s="8" t="s">
        <v>366</v>
      </c>
      <c r="S180" s="8" t="s">
        <v>793</v>
      </c>
      <c r="T180" s="7" t="s">
        <v>33</v>
      </c>
      <c r="U180" s="7" t="s">
        <v>33</v>
      </c>
      <c r="V180" s="7" t="s">
        <v>1326</v>
      </c>
      <c r="W180" s="7" t="s">
        <v>54</v>
      </c>
      <c r="X180" s="7" t="s">
        <v>835</v>
      </c>
      <c r="Y180" s="18" t="s">
        <v>1327</v>
      </c>
    </row>
    <row r="181" spans="1:25" x14ac:dyDescent="0.2">
      <c r="A181" s="11">
        <v>180</v>
      </c>
      <c r="B181" s="12" t="s">
        <v>1328</v>
      </c>
      <c r="C181" s="12" t="s">
        <v>1329</v>
      </c>
      <c r="D181" s="13" t="s">
        <v>78</v>
      </c>
      <c r="E181" s="12" t="s">
        <v>1330</v>
      </c>
      <c r="F181" s="12">
        <v>125</v>
      </c>
      <c r="G181" s="12">
        <v>400</v>
      </c>
      <c r="H181" s="12">
        <v>100</v>
      </c>
      <c r="I181" s="87">
        <v>10</v>
      </c>
      <c r="J181" s="12" t="s">
        <v>1331</v>
      </c>
      <c r="K181" s="12" t="s">
        <v>1332</v>
      </c>
      <c r="L181" s="12"/>
      <c r="M181" s="14" t="b">
        <v>0</v>
      </c>
      <c r="N181" s="14" t="b">
        <v>0</v>
      </c>
      <c r="O181" s="12">
        <v>0</v>
      </c>
      <c r="P181" s="12" t="s">
        <v>268</v>
      </c>
      <c r="Q181" s="12" t="s">
        <v>1333</v>
      </c>
      <c r="R181" s="13" t="s">
        <v>72</v>
      </c>
      <c r="S181" s="13" t="s">
        <v>793</v>
      </c>
      <c r="T181" s="12" t="s">
        <v>33</v>
      </c>
      <c r="U181" s="12">
        <v>50</v>
      </c>
      <c r="V181" s="12" t="s">
        <v>1334</v>
      </c>
      <c r="W181" s="12" t="s">
        <v>35</v>
      </c>
      <c r="X181" s="12" t="s">
        <v>168</v>
      </c>
      <c r="Y181" s="17" t="s">
        <v>1335</v>
      </c>
    </row>
    <row r="182" spans="1:25" x14ac:dyDescent="0.2">
      <c r="A182" s="6">
        <v>181</v>
      </c>
      <c r="B182" s="7" t="s">
        <v>1336</v>
      </c>
      <c r="C182" s="7" t="s">
        <v>1337</v>
      </c>
      <c r="D182" s="8" t="s">
        <v>68</v>
      </c>
      <c r="E182" s="7" t="s">
        <v>1338</v>
      </c>
      <c r="F182" s="7">
        <v>150</v>
      </c>
      <c r="G182" s="7">
        <v>300</v>
      </c>
      <c r="H182" s="7">
        <v>275</v>
      </c>
      <c r="I182" s="86">
        <v>8</v>
      </c>
      <c r="J182" s="7" t="s">
        <v>1339</v>
      </c>
      <c r="K182" s="7" t="s">
        <v>1340</v>
      </c>
      <c r="L182" s="7"/>
      <c r="M182" s="9" t="b">
        <v>0</v>
      </c>
      <c r="N182" s="9" t="b">
        <v>0</v>
      </c>
      <c r="O182" s="7">
        <v>0</v>
      </c>
      <c r="P182" s="7" t="s">
        <v>180</v>
      </c>
      <c r="Q182" s="7" t="s">
        <v>226</v>
      </c>
      <c r="R182" s="8" t="s">
        <v>130</v>
      </c>
      <c r="S182" s="8" t="s">
        <v>793</v>
      </c>
      <c r="T182" s="7" t="s">
        <v>33</v>
      </c>
      <c r="U182" s="7">
        <v>65</v>
      </c>
      <c r="V182" s="7" t="s">
        <v>1341</v>
      </c>
      <c r="W182" s="7" t="s">
        <v>35</v>
      </c>
      <c r="X182" s="7" t="s">
        <v>835</v>
      </c>
      <c r="Y182" s="18" t="s">
        <v>1342</v>
      </c>
    </row>
    <row r="183" spans="1:25" x14ac:dyDescent="0.2">
      <c r="A183" s="11">
        <v>182</v>
      </c>
      <c r="B183" s="12" t="s">
        <v>1343</v>
      </c>
      <c r="C183" s="12" t="s">
        <v>1344</v>
      </c>
      <c r="D183" s="13" t="s">
        <v>95</v>
      </c>
      <c r="E183" s="12" t="s">
        <v>1345</v>
      </c>
      <c r="F183" s="12">
        <v>150</v>
      </c>
      <c r="G183" s="12">
        <v>300</v>
      </c>
      <c r="H183" s="12">
        <v>50</v>
      </c>
      <c r="I183" s="87">
        <v>20</v>
      </c>
      <c r="J183" s="12" t="s">
        <v>1346</v>
      </c>
      <c r="K183" s="12" t="s">
        <v>1347</v>
      </c>
      <c r="L183" s="12"/>
      <c r="M183" s="14" t="b">
        <v>0</v>
      </c>
      <c r="N183" s="14" t="b">
        <v>0</v>
      </c>
      <c r="O183" s="12">
        <v>0</v>
      </c>
      <c r="P183" s="12" t="s">
        <v>268</v>
      </c>
      <c r="Q183" s="12" t="s">
        <v>226</v>
      </c>
      <c r="R183" s="13" t="s">
        <v>72</v>
      </c>
      <c r="S183" s="13" t="s">
        <v>793</v>
      </c>
      <c r="T183" s="12" t="s">
        <v>33</v>
      </c>
      <c r="U183" s="12" t="s">
        <v>33</v>
      </c>
      <c r="V183" s="12" t="s">
        <v>1348</v>
      </c>
      <c r="W183" s="12" t="s">
        <v>35</v>
      </c>
      <c r="X183" s="12" t="s">
        <v>835</v>
      </c>
      <c r="Y183" s="17" t="s">
        <v>1349</v>
      </c>
    </row>
    <row r="184" spans="1:25" x14ac:dyDescent="0.2">
      <c r="A184" s="6">
        <v>183</v>
      </c>
      <c r="B184" s="7" t="s">
        <v>1350</v>
      </c>
      <c r="C184" s="7" t="s">
        <v>1351</v>
      </c>
      <c r="D184" s="8" t="s">
        <v>59</v>
      </c>
      <c r="E184" s="7" t="s">
        <v>1352</v>
      </c>
      <c r="F184" s="7">
        <v>175</v>
      </c>
      <c r="G184" s="7">
        <v>300</v>
      </c>
      <c r="H184" s="7">
        <v>1100</v>
      </c>
      <c r="I184" s="86">
        <v>15</v>
      </c>
      <c r="J184" s="7" t="s">
        <v>1353</v>
      </c>
      <c r="K184" s="7" t="s">
        <v>1354</v>
      </c>
      <c r="L184" s="7"/>
      <c r="M184" s="9" t="b">
        <v>1</v>
      </c>
      <c r="N184" s="9" t="b">
        <v>0</v>
      </c>
      <c r="O184" s="7">
        <v>0</v>
      </c>
      <c r="P184" s="7" t="s">
        <v>855</v>
      </c>
      <c r="Q184" s="7" t="s">
        <v>603</v>
      </c>
      <c r="R184" s="8" t="s">
        <v>366</v>
      </c>
      <c r="S184" s="8" t="s">
        <v>793</v>
      </c>
      <c r="T184" s="7" t="s">
        <v>33</v>
      </c>
      <c r="U184" s="7">
        <v>2200</v>
      </c>
      <c r="V184" s="7" t="s">
        <v>1355</v>
      </c>
      <c r="W184" s="7" t="s">
        <v>11</v>
      </c>
      <c r="X184" s="7" t="s">
        <v>1356</v>
      </c>
      <c r="Y184" s="18" t="s">
        <v>1357</v>
      </c>
    </row>
    <row r="185" spans="1:25" x14ac:dyDescent="0.2">
      <c r="A185" s="11">
        <v>184</v>
      </c>
      <c r="B185" s="12" t="s">
        <v>1358</v>
      </c>
      <c r="C185" s="12" t="s">
        <v>1359</v>
      </c>
      <c r="D185" s="13" t="s">
        <v>135</v>
      </c>
      <c r="E185" s="12" t="s">
        <v>1360</v>
      </c>
      <c r="F185" s="12">
        <v>175</v>
      </c>
      <c r="G185" s="12">
        <v>300</v>
      </c>
      <c r="H185" s="12">
        <v>30</v>
      </c>
      <c r="I185" s="87">
        <v>12</v>
      </c>
      <c r="J185" s="12" t="s">
        <v>1361</v>
      </c>
      <c r="K185" s="12" t="s">
        <v>1362</v>
      </c>
      <c r="L185" s="12"/>
      <c r="M185" s="14" t="b">
        <v>0</v>
      </c>
      <c r="N185" s="14" t="b">
        <v>0</v>
      </c>
      <c r="O185" s="12">
        <v>0</v>
      </c>
      <c r="P185" s="12" t="s">
        <v>268</v>
      </c>
      <c r="Q185" s="12" t="s">
        <v>801</v>
      </c>
      <c r="R185" s="13" t="s">
        <v>72</v>
      </c>
      <c r="S185" s="13" t="s">
        <v>793</v>
      </c>
      <c r="T185" s="12" t="s">
        <v>33</v>
      </c>
      <c r="U185" s="12">
        <v>50</v>
      </c>
      <c r="V185" s="12" t="s">
        <v>1363</v>
      </c>
      <c r="W185" s="12" t="s">
        <v>111</v>
      </c>
      <c r="X185" s="12" t="s">
        <v>835</v>
      </c>
      <c r="Y185" s="17" t="s">
        <v>1364</v>
      </c>
    </row>
    <row r="186" spans="1:25" x14ac:dyDescent="0.2">
      <c r="A186" s="6">
        <v>185</v>
      </c>
      <c r="B186" s="7" t="s">
        <v>1365</v>
      </c>
      <c r="C186" s="7" t="s">
        <v>1366</v>
      </c>
      <c r="D186" s="8" t="s">
        <v>86</v>
      </c>
      <c r="E186" s="7" t="s">
        <v>1367</v>
      </c>
      <c r="F186" s="7">
        <v>175</v>
      </c>
      <c r="G186" s="7">
        <v>300</v>
      </c>
      <c r="H186" s="7">
        <v>65</v>
      </c>
      <c r="I186" s="86">
        <v>12</v>
      </c>
      <c r="J186" s="7" t="s">
        <v>1368</v>
      </c>
      <c r="K186" s="7" t="s">
        <v>1369</v>
      </c>
      <c r="L186" s="7"/>
      <c r="M186" s="9" t="b">
        <v>0</v>
      </c>
      <c r="N186" s="9" t="b">
        <v>0</v>
      </c>
      <c r="O186" s="7">
        <v>0</v>
      </c>
      <c r="P186" s="7" t="s">
        <v>180</v>
      </c>
      <c r="Q186" s="7" t="s">
        <v>1370</v>
      </c>
      <c r="R186" s="8" t="s">
        <v>43</v>
      </c>
      <c r="S186" s="8" t="s">
        <v>793</v>
      </c>
      <c r="T186" s="7" t="s">
        <v>33</v>
      </c>
      <c r="U186" s="7">
        <v>55</v>
      </c>
      <c r="V186" s="7" t="s">
        <v>1371</v>
      </c>
      <c r="W186" s="7" t="s">
        <v>111</v>
      </c>
      <c r="X186" s="7" t="s">
        <v>835</v>
      </c>
      <c r="Y186" s="18" t="s">
        <v>1372</v>
      </c>
    </row>
    <row r="187" spans="1:25" x14ac:dyDescent="0.2">
      <c r="A187" s="11">
        <v>186</v>
      </c>
      <c r="B187" s="12" t="s">
        <v>1373</v>
      </c>
      <c r="C187" s="12" t="s">
        <v>1374</v>
      </c>
      <c r="D187" s="13" t="s">
        <v>356</v>
      </c>
      <c r="E187" s="12" t="s">
        <v>1375</v>
      </c>
      <c r="F187" s="12">
        <v>200</v>
      </c>
      <c r="G187" s="12">
        <v>300</v>
      </c>
      <c r="H187" s="12">
        <v>100</v>
      </c>
      <c r="I187" s="87">
        <v>45</v>
      </c>
      <c r="J187" s="12" t="s">
        <v>1376</v>
      </c>
      <c r="K187" s="12" t="s">
        <v>1377</v>
      </c>
      <c r="L187" s="12"/>
      <c r="M187" s="14" t="b">
        <v>0</v>
      </c>
      <c r="N187" s="14" t="b">
        <v>0</v>
      </c>
      <c r="O187" s="12">
        <v>0</v>
      </c>
      <c r="P187" s="12" t="s">
        <v>855</v>
      </c>
      <c r="Q187" s="12" t="s">
        <v>1378</v>
      </c>
      <c r="R187" s="13" t="s">
        <v>72</v>
      </c>
      <c r="S187" s="13" t="s">
        <v>793</v>
      </c>
      <c r="T187" s="12" t="s">
        <v>33</v>
      </c>
      <c r="U187" s="12" t="s">
        <v>33</v>
      </c>
      <c r="V187" s="12" t="s">
        <v>1379</v>
      </c>
      <c r="W187" s="12" t="s">
        <v>35</v>
      </c>
      <c r="X187" s="12" t="s">
        <v>835</v>
      </c>
      <c r="Y187" s="17" t="s">
        <v>1380</v>
      </c>
    </row>
    <row r="188" spans="1:25" x14ac:dyDescent="0.2">
      <c r="A188" s="6">
        <v>187</v>
      </c>
      <c r="B188" s="7" t="s">
        <v>1381</v>
      </c>
      <c r="C188" s="7" t="s">
        <v>1382</v>
      </c>
      <c r="D188" s="8" t="s">
        <v>78</v>
      </c>
      <c r="E188" s="7" t="s">
        <v>1383</v>
      </c>
      <c r="F188" s="7">
        <v>175</v>
      </c>
      <c r="G188" s="7">
        <v>300</v>
      </c>
      <c r="H188" s="7">
        <v>4</v>
      </c>
      <c r="I188" s="86">
        <v>15</v>
      </c>
      <c r="J188" s="7" t="s">
        <v>1384</v>
      </c>
      <c r="K188" s="7" t="s">
        <v>1385</v>
      </c>
      <c r="L188" s="7"/>
      <c r="M188" s="9" t="b">
        <v>0</v>
      </c>
      <c r="N188" s="9" t="b">
        <v>0</v>
      </c>
      <c r="O188" s="7">
        <v>0</v>
      </c>
      <c r="P188" s="7" t="s">
        <v>268</v>
      </c>
      <c r="Q188" s="7" t="s">
        <v>1386</v>
      </c>
      <c r="R188" s="8" t="s">
        <v>43</v>
      </c>
      <c r="S188" s="8" t="s">
        <v>793</v>
      </c>
      <c r="T188" s="7" t="s">
        <v>33</v>
      </c>
      <c r="U188" s="7">
        <v>6</v>
      </c>
      <c r="V188" s="7" t="s">
        <v>1387</v>
      </c>
      <c r="W188" s="7" t="s">
        <v>11</v>
      </c>
      <c r="X188" s="7" t="s">
        <v>835</v>
      </c>
      <c r="Y188" s="18" t="s">
        <v>1388</v>
      </c>
    </row>
    <row r="189" spans="1:25" x14ac:dyDescent="0.2">
      <c r="A189" s="22">
        <v>188</v>
      </c>
      <c r="B189" s="23" t="s">
        <v>1389</v>
      </c>
      <c r="C189" s="23" t="s">
        <v>1390</v>
      </c>
      <c r="D189" s="24" t="s">
        <v>105</v>
      </c>
      <c r="E189" s="23" t="s">
        <v>1391</v>
      </c>
      <c r="F189" s="23">
        <v>200</v>
      </c>
      <c r="G189" s="23">
        <v>400</v>
      </c>
      <c r="H189" s="23">
        <v>150</v>
      </c>
      <c r="I189" s="91">
        <v>10</v>
      </c>
      <c r="J189" s="23" t="s">
        <v>1392</v>
      </c>
      <c r="K189" s="23" t="s">
        <v>1393</v>
      </c>
      <c r="L189" s="23"/>
      <c r="M189" s="25" t="b">
        <v>0</v>
      </c>
      <c r="N189" s="25" t="b">
        <v>0</v>
      </c>
      <c r="O189" s="23">
        <v>0</v>
      </c>
      <c r="P189" s="23" t="s">
        <v>268</v>
      </c>
      <c r="Q189" s="23" t="s">
        <v>226</v>
      </c>
      <c r="R189" s="24" t="s">
        <v>43</v>
      </c>
      <c r="S189" s="24" t="s">
        <v>793</v>
      </c>
      <c r="T189" s="23" t="s">
        <v>33</v>
      </c>
      <c r="U189" s="23">
        <v>300</v>
      </c>
      <c r="V189" s="23" t="s">
        <v>1394</v>
      </c>
      <c r="W189" s="23" t="s">
        <v>111</v>
      </c>
      <c r="X189" s="23" t="s">
        <v>835</v>
      </c>
      <c r="Y189" s="26" t="s">
        <v>1395</v>
      </c>
    </row>
  </sheetData>
  <conditionalFormatting sqref="D1">
    <cfRule type="containsText" dxfId="69" priority="1" operator="containsText" text="Dispara">
      <formula>NOT(ISERROR(SEARCH(("Dispara"),(D1))))</formula>
    </cfRule>
    <cfRule type="containsText" dxfId="68" priority="2" operator="containsText" text="Solar">
      <formula>NOT(ISERROR(SEARCH(("Solar"),(D1))))</formula>
    </cfRule>
    <cfRule type="containsText" dxfId="67" priority="3" operator="containsText" text="Defesa">
      <formula>NOT(ISERROR(SEARCH(("Defesa"),(D1))))</formula>
    </cfRule>
    <cfRule type="containsText" dxfId="66" priority="4" operator="containsText" text="Bomba">
      <formula>NOT(ISERROR(SEARCH(("Bomba"),(D1))))</formula>
    </cfRule>
    <cfRule type="containsText" dxfId="65" priority="5" operator="containsText" text="Gelo">
      <formula>NOT(ISERROR(SEARCH(("Gelo"),(D1))))</formula>
    </cfRule>
    <cfRule type="containsText" dxfId="64" priority="6" operator="containsText" text="Físico">
      <formula>NOT(ISERROR(SEARCH(("Físico"),(D1))))</formula>
    </cfRule>
    <cfRule type="containsText" dxfId="63" priority="7" operator="containsText" text="Veneno">
      <formula>NOT(ISERROR(SEARCH(("Veneno"),(D1))))</formula>
    </cfRule>
    <cfRule type="containsText" dxfId="62" priority="8" operator="containsText" text="Suporte">
      <formula>NOT(ISERROR(SEARCH(("Suporte"),(D1))))</formula>
    </cfRule>
    <cfRule type="containsText" dxfId="61" priority="9" operator="containsText" text="Mente">
      <formula>NOT(ISERROR(SEARCH(("Mente"),(D1))))</formula>
    </cfRule>
    <cfRule type="containsText" dxfId="60" priority="10" operator="containsText" text="Fogo">
      <formula>NOT(ISERROR(SEARCH(("Fogo"),(D1))))</formula>
    </cfRule>
    <cfRule type="containsText" dxfId="59" priority="11" operator="containsText" text="Perfurante">
      <formula>NOT(ISERROR(SEARCH(("Perfurante"),(D1))))</formula>
    </cfRule>
    <cfRule type="containsText" dxfId="58" priority="12" operator="containsText" text="Arremesso">
      <formula>NOT(ISERROR(SEARCH(("Arremesso"),(D1))))</formula>
    </cfRule>
    <cfRule type="containsText" dxfId="57" priority="13" operator="containsText" text="Elétrica">
      <formula>NOT(ISERROR(SEARCH(("Elétrica"),(D1))))</formula>
    </cfRule>
    <cfRule type="containsText" dxfId="56" priority="14" operator="containsText" text="Sombra">
      <formula>NOT(ISERROR(SEARCH(("Sombra"),(D1))))</formula>
    </cfRule>
  </conditionalFormatting>
  <dataValidations count="7">
    <dataValidation type="list" allowBlank="1" sqref="W2:W189" xr:uid="{00000000-0002-0000-0000-000000000000}">
      <formula1>"Ranged,Sun,Tough,Vanguard,Special,Support"</formula1>
    </dataValidation>
    <dataValidation type="list" allowBlank="1" showErrorMessage="1" sqref="S2:S189" xr:uid="{00000000-0002-0000-0000-000001000000}">
      <formula1>"Natural,Premium,Gemium,Sementium"</formula1>
    </dataValidation>
    <dataValidation type="list" allowBlank="1" sqref="D2:D189" xr:uid="{00000000-0002-0000-0000-000002000000}">
      <formula1>"Dispara,Esclarecida,Endurecida,Bombarda,Arma,Refrea,Surra,Perfura,Aquecida,Resfriada,Fila,Envenenada,Encanta,Sombra"</formula1>
    </dataValidation>
    <dataValidation type="list" allowBlank="1" sqref="P2:P189" xr:uid="{00000000-0002-0000-0000-000003000000}">
      <formula1>"Common,Uncommon,Rare,Epic,Legendary,Mythical,Não especificado"</formula1>
    </dataValidation>
    <dataValidation type="custom" allowBlank="1" showDropDown="1" sqref="A2:A189 F2:H189 O2:O189" xr:uid="{00000000-0002-0000-0000-000004000000}">
      <formula1>AND(ISNUMBER(A2),(NOT(OR(NOT(ISERROR(DATEVALUE(A2))), AND(ISNUMBER(A2), LEFT(CELL("format", A2))="D")))))</formula1>
    </dataValidation>
    <dataValidation type="list" allowBlank="1" showErrorMessage="1" sqref="R2:R189" xr:uid="{00000000-0002-0000-0000-000005000000}">
      <formula1>"Pea,Flower,Nut,Root,Leaf,Fruit,Bean,Berry,Vegetable,Murshroom,Cactus,Pepper,Wood"</formula1>
    </dataValidation>
    <dataValidation type="list" allowBlank="1" sqref="X2:X189" xr:uid="{00000000-0002-0000-0000-000007000000}">
      <formula1>"PvZ,PvZ 2,PvZ 2 Chinease,PvZ Heroes,PvZ GW,PvZ GW 2,PvZA,PvZ BfN,PvZ 3"</formula1>
    </dataValidation>
  </dataValidations>
  <hyperlinks>
    <hyperlink ref="Y2" r:id="rId1" xr:uid="{00000000-0004-0000-0000-000000000000}"/>
    <hyperlink ref="Y3" r:id="rId2" xr:uid="{00000000-0004-0000-0000-000001000000}"/>
    <hyperlink ref="Y4" r:id="rId3" xr:uid="{00000000-0004-0000-0000-000002000000}"/>
    <hyperlink ref="Y5" r:id="rId4" xr:uid="{00000000-0004-0000-0000-000003000000}"/>
    <hyperlink ref="Y6" r:id="rId5" xr:uid="{00000000-0004-0000-0000-000004000000}"/>
    <hyperlink ref="Y7" r:id="rId6" xr:uid="{00000000-0004-0000-0000-000005000000}"/>
    <hyperlink ref="Y8" r:id="rId7" xr:uid="{00000000-0004-0000-0000-000006000000}"/>
    <hyperlink ref="Y9" r:id="rId8" xr:uid="{00000000-0004-0000-0000-000007000000}"/>
    <hyperlink ref="Y10" r:id="rId9" xr:uid="{00000000-0004-0000-0000-000008000000}"/>
    <hyperlink ref="Y11" r:id="rId10" xr:uid="{00000000-0004-0000-0000-000009000000}"/>
    <hyperlink ref="Y12" r:id="rId11" xr:uid="{00000000-0004-0000-0000-00000A000000}"/>
    <hyperlink ref="Y13" r:id="rId12" xr:uid="{00000000-0004-0000-0000-00000B000000}"/>
    <hyperlink ref="Y14" r:id="rId13" xr:uid="{00000000-0004-0000-0000-00000C000000}"/>
    <hyperlink ref="Y15" r:id="rId14" xr:uid="{00000000-0004-0000-0000-00000D000000}"/>
    <hyperlink ref="Y16" r:id="rId15" xr:uid="{00000000-0004-0000-0000-00000E000000}"/>
    <hyperlink ref="Y17" r:id="rId16" xr:uid="{00000000-0004-0000-0000-00000F000000}"/>
    <hyperlink ref="Y18" r:id="rId17" xr:uid="{00000000-0004-0000-0000-000010000000}"/>
    <hyperlink ref="Y19" r:id="rId18" xr:uid="{00000000-0004-0000-0000-000011000000}"/>
    <hyperlink ref="Y20" r:id="rId19" xr:uid="{00000000-0004-0000-0000-000012000000}"/>
    <hyperlink ref="Y21" r:id="rId20" xr:uid="{00000000-0004-0000-0000-000013000000}"/>
    <hyperlink ref="Y22" r:id="rId21" xr:uid="{00000000-0004-0000-0000-000014000000}"/>
    <hyperlink ref="Y23" r:id="rId22" xr:uid="{00000000-0004-0000-0000-000015000000}"/>
    <hyperlink ref="Y24" r:id="rId23" xr:uid="{00000000-0004-0000-0000-000016000000}"/>
    <hyperlink ref="Y25" r:id="rId24" xr:uid="{00000000-0004-0000-0000-000017000000}"/>
    <hyperlink ref="Y26" r:id="rId25" xr:uid="{00000000-0004-0000-0000-000018000000}"/>
    <hyperlink ref="Y27" r:id="rId26" xr:uid="{00000000-0004-0000-0000-000019000000}"/>
    <hyperlink ref="Y28" r:id="rId27" xr:uid="{00000000-0004-0000-0000-00001A000000}"/>
    <hyperlink ref="Y29" r:id="rId28" xr:uid="{00000000-0004-0000-0000-00001B000000}"/>
    <hyperlink ref="Y30" r:id="rId29" xr:uid="{00000000-0004-0000-0000-00001C000000}"/>
    <hyperlink ref="Y31" r:id="rId30" xr:uid="{00000000-0004-0000-0000-00001D000000}"/>
    <hyperlink ref="Y32" r:id="rId31" xr:uid="{00000000-0004-0000-0000-00001E000000}"/>
    <hyperlink ref="Y33" r:id="rId32" xr:uid="{00000000-0004-0000-0000-00001F000000}"/>
    <hyperlink ref="Y34" r:id="rId33" xr:uid="{00000000-0004-0000-0000-000020000000}"/>
    <hyperlink ref="Y35" r:id="rId34" xr:uid="{00000000-0004-0000-0000-000021000000}"/>
    <hyperlink ref="Y36" r:id="rId35" xr:uid="{00000000-0004-0000-0000-000022000000}"/>
    <hyperlink ref="Y37" r:id="rId36" xr:uid="{00000000-0004-0000-0000-000023000000}"/>
    <hyperlink ref="Y38" r:id="rId37" xr:uid="{00000000-0004-0000-0000-000024000000}"/>
    <hyperlink ref="Y39" r:id="rId38" xr:uid="{00000000-0004-0000-0000-000025000000}"/>
    <hyperlink ref="Y40" r:id="rId39" xr:uid="{00000000-0004-0000-0000-000026000000}"/>
    <hyperlink ref="Y41" r:id="rId40" xr:uid="{00000000-0004-0000-0000-000027000000}"/>
    <hyperlink ref="Y42" r:id="rId41" xr:uid="{00000000-0004-0000-0000-000028000000}"/>
    <hyperlink ref="Y43" r:id="rId42" xr:uid="{00000000-0004-0000-0000-000029000000}"/>
    <hyperlink ref="Y44" r:id="rId43" xr:uid="{00000000-0004-0000-0000-00002A000000}"/>
    <hyperlink ref="Y45" r:id="rId44" xr:uid="{00000000-0004-0000-0000-00002B000000}"/>
    <hyperlink ref="Y46" r:id="rId45" xr:uid="{00000000-0004-0000-0000-00002C000000}"/>
    <hyperlink ref="Y47" r:id="rId46" xr:uid="{00000000-0004-0000-0000-00002D000000}"/>
    <hyperlink ref="Y48" r:id="rId47" xr:uid="{00000000-0004-0000-0000-00002E000000}"/>
    <hyperlink ref="Y49" r:id="rId48" xr:uid="{00000000-0004-0000-0000-00002F000000}"/>
    <hyperlink ref="Y50" r:id="rId49" xr:uid="{00000000-0004-0000-0000-000030000000}"/>
    <hyperlink ref="Y51" r:id="rId50" xr:uid="{00000000-0004-0000-0000-000031000000}"/>
    <hyperlink ref="Y52" r:id="rId51" xr:uid="{00000000-0004-0000-0000-000032000000}"/>
    <hyperlink ref="Y53" r:id="rId52" xr:uid="{00000000-0004-0000-0000-000033000000}"/>
    <hyperlink ref="Y54" r:id="rId53" xr:uid="{00000000-0004-0000-0000-000034000000}"/>
    <hyperlink ref="Y55" r:id="rId54" xr:uid="{00000000-0004-0000-0000-000035000000}"/>
    <hyperlink ref="Y56" r:id="rId55" xr:uid="{00000000-0004-0000-0000-000036000000}"/>
    <hyperlink ref="Y57" r:id="rId56" xr:uid="{00000000-0004-0000-0000-000037000000}"/>
    <hyperlink ref="Y58" r:id="rId57" xr:uid="{00000000-0004-0000-0000-000038000000}"/>
    <hyperlink ref="Y59" r:id="rId58" xr:uid="{00000000-0004-0000-0000-000039000000}"/>
    <hyperlink ref="Y60" r:id="rId59" xr:uid="{00000000-0004-0000-0000-00003A000000}"/>
    <hyperlink ref="Y61" r:id="rId60" xr:uid="{00000000-0004-0000-0000-00003B000000}"/>
    <hyperlink ref="Y62" r:id="rId61" xr:uid="{00000000-0004-0000-0000-00003C000000}"/>
    <hyperlink ref="Y63" r:id="rId62" xr:uid="{00000000-0004-0000-0000-00003D000000}"/>
    <hyperlink ref="Y64" r:id="rId63" xr:uid="{00000000-0004-0000-0000-00003E000000}"/>
    <hyperlink ref="Y65" r:id="rId64" xr:uid="{00000000-0004-0000-0000-00003F000000}"/>
    <hyperlink ref="Y66" r:id="rId65" xr:uid="{00000000-0004-0000-0000-000040000000}"/>
    <hyperlink ref="Y67" r:id="rId66" xr:uid="{00000000-0004-0000-0000-000041000000}"/>
    <hyperlink ref="Y68" r:id="rId67" xr:uid="{00000000-0004-0000-0000-000042000000}"/>
    <hyperlink ref="Y69" r:id="rId68" xr:uid="{00000000-0004-0000-0000-000043000000}"/>
    <hyperlink ref="Y70" r:id="rId69" xr:uid="{00000000-0004-0000-0000-000044000000}"/>
    <hyperlink ref="Y71" r:id="rId70" xr:uid="{00000000-0004-0000-0000-000045000000}"/>
    <hyperlink ref="Y72" r:id="rId71" xr:uid="{00000000-0004-0000-0000-000046000000}"/>
    <hyperlink ref="Y73" r:id="rId72" xr:uid="{00000000-0004-0000-0000-000047000000}"/>
    <hyperlink ref="Y74" r:id="rId73" xr:uid="{00000000-0004-0000-0000-000048000000}"/>
    <hyperlink ref="Y75" r:id="rId74" xr:uid="{00000000-0004-0000-0000-000049000000}"/>
    <hyperlink ref="Y76" r:id="rId75" xr:uid="{00000000-0004-0000-0000-00004A000000}"/>
    <hyperlink ref="Y77" r:id="rId76" xr:uid="{00000000-0004-0000-0000-00004B000000}"/>
    <hyperlink ref="Y78" r:id="rId77" xr:uid="{00000000-0004-0000-0000-00004C000000}"/>
    <hyperlink ref="Y79" r:id="rId78" xr:uid="{00000000-0004-0000-0000-00004D000000}"/>
    <hyperlink ref="Y80" r:id="rId79" xr:uid="{00000000-0004-0000-0000-00004E000000}"/>
    <hyperlink ref="Y81" r:id="rId80" xr:uid="{00000000-0004-0000-0000-00004F000000}"/>
    <hyperlink ref="Y82" r:id="rId81" xr:uid="{00000000-0004-0000-0000-000050000000}"/>
    <hyperlink ref="Y83" r:id="rId82" xr:uid="{00000000-0004-0000-0000-000051000000}"/>
    <hyperlink ref="Y84" r:id="rId83" xr:uid="{00000000-0004-0000-0000-000052000000}"/>
    <hyperlink ref="Y85" r:id="rId84" xr:uid="{00000000-0004-0000-0000-000053000000}"/>
    <hyperlink ref="Y86" r:id="rId85" xr:uid="{00000000-0004-0000-0000-000054000000}"/>
    <hyperlink ref="Y87" r:id="rId86" xr:uid="{00000000-0004-0000-0000-000055000000}"/>
    <hyperlink ref="Y88" r:id="rId87" xr:uid="{00000000-0004-0000-0000-000056000000}"/>
    <hyperlink ref="Y89" r:id="rId88" xr:uid="{00000000-0004-0000-0000-000057000000}"/>
    <hyperlink ref="Y90" r:id="rId89" xr:uid="{00000000-0004-0000-0000-000058000000}"/>
    <hyperlink ref="Y91" r:id="rId90" xr:uid="{00000000-0004-0000-0000-000059000000}"/>
    <hyperlink ref="Y92" r:id="rId91" xr:uid="{00000000-0004-0000-0000-00005A000000}"/>
    <hyperlink ref="Y93" r:id="rId92" xr:uid="{00000000-0004-0000-0000-00005B000000}"/>
    <hyperlink ref="Y94" r:id="rId93" xr:uid="{00000000-0004-0000-0000-00005C000000}"/>
    <hyperlink ref="Y95" r:id="rId94" xr:uid="{00000000-0004-0000-0000-00005D000000}"/>
    <hyperlink ref="Y96" r:id="rId95" xr:uid="{00000000-0004-0000-0000-00005E000000}"/>
    <hyperlink ref="Y97" r:id="rId96" xr:uid="{00000000-0004-0000-0000-00005F000000}"/>
    <hyperlink ref="Y98" r:id="rId97" xr:uid="{00000000-0004-0000-0000-000060000000}"/>
    <hyperlink ref="Y99" r:id="rId98" xr:uid="{00000000-0004-0000-0000-000061000000}"/>
    <hyperlink ref="Y100" r:id="rId99" xr:uid="{00000000-0004-0000-0000-000062000000}"/>
    <hyperlink ref="Y101" r:id="rId100" xr:uid="{00000000-0004-0000-0000-000063000000}"/>
    <hyperlink ref="Y102" r:id="rId101" xr:uid="{00000000-0004-0000-0000-000064000000}"/>
    <hyperlink ref="Y103" r:id="rId102" xr:uid="{00000000-0004-0000-0000-000065000000}"/>
    <hyperlink ref="Y104" r:id="rId103" xr:uid="{00000000-0004-0000-0000-000066000000}"/>
    <hyperlink ref="Y105" r:id="rId104" xr:uid="{00000000-0004-0000-0000-000067000000}"/>
    <hyperlink ref="Y106" r:id="rId105" xr:uid="{00000000-0004-0000-0000-000068000000}"/>
    <hyperlink ref="Y107" r:id="rId106" xr:uid="{00000000-0004-0000-0000-000069000000}"/>
    <hyperlink ref="Y108" r:id="rId107" xr:uid="{00000000-0004-0000-0000-00006A000000}"/>
    <hyperlink ref="Y109" r:id="rId108" xr:uid="{00000000-0004-0000-0000-00006B000000}"/>
    <hyperlink ref="Y110" r:id="rId109" xr:uid="{00000000-0004-0000-0000-00006C000000}"/>
    <hyperlink ref="Y111" r:id="rId110" xr:uid="{00000000-0004-0000-0000-00006D000000}"/>
    <hyperlink ref="Y112" r:id="rId111" xr:uid="{00000000-0004-0000-0000-00006E000000}"/>
    <hyperlink ref="Y113" r:id="rId112" xr:uid="{00000000-0004-0000-0000-00006F000000}"/>
    <hyperlink ref="Y114" r:id="rId113" xr:uid="{00000000-0004-0000-0000-000070000000}"/>
    <hyperlink ref="Y115" r:id="rId114" xr:uid="{00000000-0004-0000-0000-000071000000}"/>
    <hyperlink ref="Y116" r:id="rId115" xr:uid="{00000000-0004-0000-0000-000072000000}"/>
    <hyperlink ref="Y117" r:id="rId116" xr:uid="{00000000-0004-0000-0000-000073000000}"/>
    <hyperlink ref="Y118" r:id="rId117" xr:uid="{00000000-0004-0000-0000-000074000000}"/>
    <hyperlink ref="Y119" r:id="rId118" xr:uid="{00000000-0004-0000-0000-000075000000}"/>
    <hyperlink ref="Y120" r:id="rId119" xr:uid="{00000000-0004-0000-0000-000076000000}"/>
    <hyperlink ref="Y121" r:id="rId120" xr:uid="{00000000-0004-0000-0000-000077000000}"/>
    <hyperlink ref="Y122" r:id="rId121" xr:uid="{00000000-0004-0000-0000-000078000000}"/>
    <hyperlink ref="Y123" r:id="rId122" xr:uid="{00000000-0004-0000-0000-000079000000}"/>
    <hyperlink ref="Y124" r:id="rId123" xr:uid="{00000000-0004-0000-0000-00007A000000}"/>
    <hyperlink ref="Y125" r:id="rId124" xr:uid="{00000000-0004-0000-0000-00007B000000}"/>
    <hyperlink ref="Y126" r:id="rId125" xr:uid="{00000000-0004-0000-0000-00007C000000}"/>
    <hyperlink ref="Y127" r:id="rId126" xr:uid="{00000000-0004-0000-0000-00007D000000}"/>
    <hyperlink ref="Y128" r:id="rId127" xr:uid="{00000000-0004-0000-0000-00007E000000}"/>
    <hyperlink ref="Y129" r:id="rId128" xr:uid="{00000000-0004-0000-0000-00007F000000}"/>
    <hyperlink ref="Y130" r:id="rId129" xr:uid="{00000000-0004-0000-0000-000080000000}"/>
    <hyperlink ref="Y131" r:id="rId130" xr:uid="{00000000-0004-0000-0000-000081000000}"/>
    <hyperlink ref="Y132" r:id="rId131" xr:uid="{00000000-0004-0000-0000-000082000000}"/>
    <hyperlink ref="Y134" r:id="rId132" xr:uid="{00000000-0004-0000-0000-000083000000}"/>
    <hyperlink ref="Y135" r:id="rId133" xr:uid="{00000000-0004-0000-0000-000084000000}"/>
    <hyperlink ref="Y136" r:id="rId134" xr:uid="{00000000-0004-0000-0000-000085000000}"/>
    <hyperlink ref="Y137" r:id="rId135" xr:uid="{00000000-0004-0000-0000-000086000000}"/>
    <hyperlink ref="Y138" r:id="rId136" xr:uid="{00000000-0004-0000-0000-000087000000}"/>
    <hyperlink ref="Y139" r:id="rId137" xr:uid="{00000000-0004-0000-0000-000088000000}"/>
    <hyperlink ref="Y140" r:id="rId138" xr:uid="{00000000-0004-0000-0000-000089000000}"/>
    <hyperlink ref="Y141" r:id="rId139" xr:uid="{00000000-0004-0000-0000-00008A000000}"/>
    <hyperlink ref="Y142" r:id="rId140" xr:uid="{00000000-0004-0000-0000-00008B000000}"/>
    <hyperlink ref="Y143" r:id="rId141" xr:uid="{00000000-0004-0000-0000-00008C000000}"/>
    <hyperlink ref="Y144" r:id="rId142" xr:uid="{00000000-0004-0000-0000-00008D000000}"/>
    <hyperlink ref="Y145" r:id="rId143" xr:uid="{00000000-0004-0000-0000-00008E000000}"/>
    <hyperlink ref="Y146" r:id="rId144" xr:uid="{00000000-0004-0000-0000-00008F000000}"/>
    <hyperlink ref="Y147" r:id="rId145" xr:uid="{00000000-0004-0000-0000-000090000000}"/>
    <hyperlink ref="Y148" r:id="rId146" xr:uid="{00000000-0004-0000-0000-000091000000}"/>
    <hyperlink ref="Y149" r:id="rId147" xr:uid="{00000000-0004-0000-0000-000092000000}"/>
    <hyperlink ref="Y150" r:id="rId148" xr:uid="{00000000-0004-0000-0000-000093000000}"/>
    <hyperlink ref="Y151" r:id="rId149" xr:uid="{00000000-0004-0000-0000-000094000000}"/>
    <hyperlink ref="Y152" r:id="rId150" xr:uid="{00000000-0004-0000-0000-000095000000}"/>
    <hyperlink ref="Y153" r:id="rId151" xr:uid="{00000000-0004-0000-0000-000096000000}"/>
    <hyperlink ref="Y154" r:id="rId152" xr:uid="{00000000-0004-0000-0000-000097000000}"/>
    <hyperlink ref="Y155" r:id="rId153" xr:uid="{00000000-0004-0000-0000-000098000000}"/>
    <hyperlink ref="Y156" r:id="rId154" xr:uid="{00000000-0004-0000-0000-000099000000}"/>
    <hyperlink ref="Y157" r:id="rId155" xr:uid="{00000000-0004-0000-0000-00009A000000}"/>
    <hyperlink ref="Y158" r:id="rId156" xr:uid="{00000000-0004-0000-0000-00009B000000}"/>
    <hyperlink ref="Y159" r:id="rId157" xr:uid="{00000000-0004-0000-0000-00009C000000}"/>
    <hyperlink ref="Y160" r:id="rId158" xr:uid="{00000000-0004-0000-0000-00009D000000}"/>
    <hyperlink ref="Y161" r:id="rId159" xr:uid="{00000000-0004-0000-0000-00009E000000}"/>
    <hyperlink ref="Y162" r:id="rId160" xr:uid="{00000000-0004-0000-0000-00009F000000}"/>
    <hyperlink ref="Y163" r:id="rId161" xr:uid="{00000000-0004-0000-0000-0000A0000000}"/>
    <hyperlink ref="Y164" r:id="rId162" xr:uid="{00000000-0004-0000-0000-0000A1000000}"/>
    <hyperlink ref="Y165" r:id="rId163" xr:uid="{00000000-0004-0000-0000-0000A2000000}"/>
    <hyperlink ref="Y166" r:id="rId164" xr:uid="{00000000-0004-0000-0000-0000A3000000}"/>
    <hyperlink ref="Y167" r:id="rId165" xr:uid="{00000000-0004-0000-0000-0000A4000000}"/>
    <hyperlink ref="Y168" r:id="rId166" xr:uid="{00000000-0004-0000-0000-0000A5000000}"/>
    <hyperlink ref="Y169" r:id="rId167" xr:uid="{00000000-0004-0000-0000-0000A6000000}"/>
    <hyperlink ref="Y170" r:id="rId168" xr:uid="{00000000-0004-0000-0000-0000A7000000}"/>
    <hyperlink ref="Y171" r:id="rId169" xr:uid="{00000000-0004-0000-0000-0000A8000000}"/>
    <hyperlink ref="Y172" r:id="rId170" xr:uid="{00000000-0004-0000-0000-0000A9000000}"/>
    <hyperlink ref="Y173" r:id="rId171" xr:uid="{00000000-0004-0000-0000-0000AA000000}"/>
    <hyperlink ref="Y174" r:id="rId172" xr:uid="{00000000-0004-0000-0000-0000AB000000}"/>
    <hyperlink ref="Y175" r:id="rId173" xr:uid="{00000000-0004-0000-0000-0000AC000000}"/>
    <hyperlink ref="Y176" r:id="rId174" xr:uid="{00000000-0004-0000-0000-0000AD000000}"/>
    <hyperlink ref="Y177" r:id="rId175" xr:uid="{00000000-0004-0000-0000-0000AE000000}"/>
    <hyperlink ref="Y178" r:id="rId176" xr:uid="{00000000-0004-0000-0000-0000AF000000}"/>
    <hyperlink ref="Y179" r:id="rId177" xr:uid="{00000000-0004-0000-0000-0000B0000000}"/>
    <hyperlink ref="Y180" r:id="rId178" xr:uid="{00000000-0004-0000-0000-0000B1000000}"/>
    <hyperlink ref="Y181" r:id="rId179" xr:uid="{00000000-0004-0000-0000-0000B2000000}"/>
    <hyperlink ref="Y182" r:id="rId180" xr:uid="{00000000-0004-0000-0000-0000B3000000}"/>
    <hyperlink ref="Y183" r:id="rId181" xr:uid="{00000000-0004-0000-0000-0000B4000000}"/>
    <hyperlink ref="Y184" r:id="rId182" xr:uid="{00000000-0004-0000-0000-0000B5000000}"/>
    <hyperlink ref="Y185" r:id="rId183" xr:uid="{00000000-0004-0000-0000-0000B6000000}"/>
    <hyperlink ref="Y186" r:id="rId184" xr:uid="{00000000-0004-0000-0000-0000B7000000}"/>
    <hyperlink ref="Y187" r:id="rId185" xr:uid="{00000000-0004-0000-0000-0000B8000000}"/>
    <hyperlink ref="Y188" r:id="rId186" xr:uid="{00000000-0004-0000-0000-0000B9000000}"/>
    <hyperlink ref="Y189" r:id="rId187" xr:uid="{00000000-0004-0000-0000-0000BA000000}"/>
  </hyperlinks>
  <pageMargins left="0.511811024" right="0.511811024" top="0.78740157499999996" bottom="0.78740157499999996" header="0.31496062000000002" footer="0.31496062000000002"/>
  <tableParts count="1">
    <tablePart r:id="rId18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5"/>
  <sheetViews>
    <sheetView workbookViewId="0"/>
  </sheetViews>
  <sheetFormatPr defaultColWidth="12.5703125" defaultRowHeight="15.75" customHeight="1" x14ac:dyDescent="0.2"/>
  <cols>
    <col min="1" max="1" width="8.28515625" customWidth="1"/>
    <col min="2" max="3" width="13.7109375" customWidth="1"/>
    <col min="5" max="5" width="17.42578125" customWidth="1"/>
    <col min="6" max="9" width="12.28515625" customWidth="1"/>
    <col min="10" max="11" width="20.28515625" customWidth="1"/>
  </cols>
  <sheetData>
    <row r="1" spans="1:21" ht="25.5" x14ac:dyDescent="0.2">
      <c r="A1" s="1" t="s">
        <v>0</v>
      </c>
      <c r="B1" s="2" t="s">
        <v>1</v>
      </c>
      <c r="C1" s="2" t="s">
        <v>2</v>
      </c>
      <c r="D1" s="3" t="s">
        <v>3</v>
      </c>
      <c r="E1" s="2" t="s">
        <v>4</v>
      </c>
      <c r="F1" s="2" t="s">
        <v>5</v>
      </c>
      <c r="G1" s="2" t="s">
        <v>6</v>
      </c>
      <c r="H1" s="2" t="s">
        <v>7</v>
      </c>
      <c r="I1" s="4" t="s">
        <v>8</v>
      </c>
      <c r="J1" s="4" t="s">
        <v>9</v>
      </c>
      <c r="K1" s="4" t="s">
        <v>10</v>
      </c>
      <c r="L1" s="2" t="s">
        <v>12</v>
      </c>
      <c r="M1" s="2" t="s">
        <v>13</v>
      </c>
      <c r="N1" s="2" t="s">
        <v>14</v>
      </c>
      <c r="O1" s="4" t="s">
        <v>15</v>
      </c>
      <c r="P1" s="2" t="s">
        <v>16</v>
      </c>
      <c r="Q1" s="3" t="s">
        <v>17</v>
      </c>
      <c r="R1" s="3" t="s">
        <v>18</v>
      </c>
      <c r="S1" s="2" t="s">
        <v>19</v>
      </c>
      <c r="T1" s="2" t="s">
        <v>20</v>
      </c>
      <c r="U1" s="5" t="s">
        <v>21</v>
      </c>
    </row>
    <row r="2" spans="1:21" ht="28.5" customHeight="1" x14ac:dyDescent="0.2">
      <c r="A2" s="27">
        <v>1</v>
      </c>
      <c r="B2" s="27" t="s">
        <v>1396</v>
      </c>
      <c r="C2" s="27" t="s">
        <v>1397</v>
      </c>
      <c r="D2" s="27" t="s">
        <v>27</v>
      </c>
      <c r="E2" s="28" t="s">
        <v>1398</v>
      </c>
      <c r="F2" s="27">
        <v>0</v>
      </c>
      <c r="G2" s="27">
        <v>100000</v>
      </c>
      <c r="H2" s="27">
        <v>300</v>
      </c>
      <c r="I2" s="27">
        <v>85</v>
      </c>
      <c r="J2" s="27" t="s">
        <v>97</v>
      </c>
      <c r="K2" s="28"/>
      <c r="L2" s="28" t="b">
        <v>1</v>
      </c>
      <c r="M2" s="28" t="b">
        <v>1</v>
      </c>
      <c r="N2" s="28">
        <v>0</v>
      </c>
      <c r="O2" s="28" t="s">
        <v>30</v>
      </c>
      <c r="P2" s="28" t="s">
        <v>31</v>
      </c>
      <c r="Q2" s="27" t="s">
        <v>72</v>
      </c>
      <c r="R2" s="27" t="s">
        <v>1399</v>
      </c>
      <c r="S2" s="27" t="s">
        <v>33</v>
      </c>
      <c r="T2" s="27">
        <v>100</v>
      </c>
      <c r="U2" s="27" t="s">
        <v>1400</v>
      </c>
    </row>
    <row r="3" spans="1:21" ht="28.5" customHeight="1" x14ac:dyDescent="0.2">
      <c r="A3" s="27">
        <v>2</v>
      </c>
      <c r="B3" s="27" t="s">
        <v>1401</v>
      </c>
      <c r="C3" s="27" t="s">
        <v>1402</v>
      </c>
      <c r="D3" s="27" t="s">
        <v>40</v>
      </c>
      <c r="E3" s="28" t="s">
        <v>1403</v>
      </c>
      <c r="F3" s="27">
        <v>0</v>
      </c>
      <c r="G3" s="27">
        <v>100000</v>
      </c>
      <c r="H3" s="27">
        <v>0</v>
      </c>
      <c r="I3" s="27">
        <v>85</v>
      </c>
      <c r="J3" s="27" t="s">
        <v>97</v>
      </c>
      <c r="K3" s="28"/>
      <c r="L3" s="28" t="b">
        <v>1</v>
      </c>
      <c r="M3" s="28" t="b">
        <v>1</v>
      </c>
      <c r="N3" s="28">
        <v>50</v>
      </c>
      <c r="O3" s="28" t="s">
        <v>180</v>
      </c>
      <c r="P3" s="28"/>
      <c r="Q3" s="27" t="s">
        <v>72</v>
      </c>
      <c r="R3" s="27" t="s">
        <v>1399</v>
      </c>
      <c r="S3" s="27" t="s">
        <v>33</v>
      </c>
      <c r="T3" s="27" t="s">
        <v>33</v>
      </c>
      <c r="U3" s="27" t="s">
        <v>1404</v>
      </c>
    </row>
    <row r="4" spans="1:21" ht="28.5" customHeight="1" x14ac:dyDescent="0.2">
      <c r="A4" s="27">
        <v>3</v>
      </c>
      <c r="B4" s="27" t="s">
        <v>1405</v>
      </c>
      <c r="C4" s="27" t="s">
        <v>1406</v>
      </c>
      <c r="D4" s="27" t="s">
        <v>49</v>
      </c>
      <c r="E4" s="28" t="s">
        <v>1407</v>
      </c>
      <c r="F4" s="27">
        <v>0</v>
      </c>
      <c r="G4" s="27">
        <v>100000</v>
      </c>
      <c r="H4" s="27">
        <v>0</v>
      </c>
      <c r="I4" s="27">
        <v>85</v>
      </c>
      <c r="J4" s="27" t="s">
        <v>97</v>
      </c>
      <c r="K4" s="28"/>
      <c r="L4" s="28" t="b">
        <v>1</v>
      </c>
      <c r="M4" s="28" t="b">
        <v>1</v>
      </c>
      <c r="N4" s="28">
        <v>0</v>
      </c>
      <c r="O4" s="28" t="s">
        <v>30</v>
      </c>
      <c r="P4" s="28"/>
      <c r="Q4" s="27" t="s">
        <v>72</v>
      </c>
      <c r="R4" s="27" t="s">
        <v>1399</v>
      </c>
      <c r="S4" s="27" t="s">
        <v>33</v>
      </c>
      <c r="T4" s="27" t="s">
        <v>33</v>
      </c>
      <c r="U4" s="27" t="s">
        <v>1408</v>
      </c>
    </row>
    <row r="5" spans="1:21" ht="28.5" customHeight="1" x14ac:dyDescent="0.2">
      <c r="A5" s="27">
        <v>4</v>
      </c>
      <c r="B5" s="27" t="s">
        <v>1409</v>
      </c>
      <c r="C5" s="27" t="s">
        <v>1410</v>
      </c>
      <c r="D5" s="27" t="s">
        <v>59</v>
      </c>
      <c r="E5" s="28" t="s">
        <v>1411</v>
      </c>
      <c r="F5" s="27">
        <v>0</v>
      </c>
      <c r="G5" s="27">
        <v>300</v>
      </c>
      <c r="H5" s="27">
        <v>1800</v>
      </c>
      <c r="I5" s="27">
        <v>85</v>
      </c>
      <c r="J5" s="27" t="s">
        <v>97</v>
      </c>
      <c r="K5" s="28" t="s">
        <v>1412</v>
      </c>
      <c r="L5" s="28" t="b">
        <v>1</v>
      </c>
      <c r="M5" s="28" t="b">
        <v>1</v>
      </c>
      <c r="N5" s="28">
        <v>0</v>
      </c>
      <c r="O5" s="28" t="s">
        <v>268</v>
      </c>
      <c r="P5" s="28" t="s">
        <v>1413</v>
      </c>
      <c r="Q5" s="27" t="s">
        <v>72</v>
      </c>
      <c r="R5" s="27" t="s">
        <v>1399</v>
      </c>
      <c r="S5" s="27" t="s">
        <v>33</v>
      </c>
      <c r="T5" s="27" t="s">
        <v>33</v>
      </c>
      <c r="U5" s="27" t="s">
        <v>1414</v>
      </c>
    </row>
    <row r="6" spans="1:21" ht="28.5" customHeight="1" x14ac:dyDescent="0.2">
      <c r="A6" s="27">
        <v>5</v>
      </c>
      <c r="B6" s="27" t="s">
        <v>1415</v>
      </c>
      <c r="C6" s="27" t="s">
        <v>1416</v>
      </c>
      <c r="D6" s="27" t="s">
        <v>68</v>
      </c>
      <c r="E6" s="28" t="s">
        <v>1417</v>
      </c>
      <c r="F6" s="27">
        <v>0</v>
      </c>
      <c r="G6" s="27">
        <v>100000</v>
      </c>
      <c r="H6" s="27">
        <v>1200</v>
      </c>
      <c r="I6" s="27">
        <v>85</v>
      </c>
      <c r="J6" s="27" t="s">
        <v>97</v>
      </c>
      <c r="K6" s="28" t="s">
        <v>1418</v>
      </c>
      <c r="L6" s="28" t="b">
        <v>1</v>
      </c>
      <c r="M6" s="28" t="b">
        <v>1</v>
      </c>
      <c r="N6" s="28">
        <v>0</v>
      </c>
      <c r="O6" s="28" t="s">
        <v>180</v>
      </c>
      <c r="P6" s="28" t="s">
        <v>1419</v>
      </c>
      <c r="Q6" s="27" t="s">
        <v>72</v>
      </c>
      <c r="R6" s="27" t="s">
        <v>1399</v>
      </c>
      <c r="S6" s="27" t="s">
        <v>33</v>
      </c>
      <c r="T6" s="27" t="s">
        <v>33</v>
      </c>
      <c r="U6" s="27" t="s">
        <v>1420</v>
      </c>
    </row>
    <row r="7" spans="1:21" ht="28.5" customHeight="1" x14ac:dyDescent="0.2">
      <c r="A7" s="27">
        <v>6</v>
      </c>
      <c r="B7" s="27" t="s">
        <v>1421</v>
      </c>
      <c r="C7" s="27" t="s">
        <v>1422</v>
      </c>
      <c r="D7" s="27" t="s">
        <v>95</v>
      </c>
      <c r="E7" s="28" t="s">
        <v>1423</v>
      </c>
      <c r="F7" s="27">
        <v>0</v>
      </c>
      <c r="G7" s="27">
        <v>100000</v>
      </c>
      <c r="H7" s="27">
        <v>0</v>
      </c>
      <c r="I7" s="27">
        <v>85</v>
      </c>
      <c r="J7" s="27" t="s">
        <v>97</v>
      </c>
      <c r="K7" s="28" t="s">
        <v>1424</v>
      </c>
      <c r="L7" s="28" t="b">
        <v>1</v>
      </c>
      <c r="M7" s="28" t="b">
        <v>1</v>
      </c>
      <c r="N7" s="28">
        <v>0</v>
      </c>
      <c r="O7" s="28" t="s">
        <v>30</v>
      </c>
      <c r="P7" s="28" t="s">
        <v>1419</v>
      </c>
      <c r="Q7" s="27" t="s">
        <v>72</v>
      </c>
      <c r="R7" s="27" t="s">
        <v>1399</v>
      </c>
      <c r="S7" s="27" t="s">
        <v>33</v>
      </c>
      <c r="T7" s="27" t="s">
        <v>33</v>
      </c>
      <c r="U7" s="27" t="s">
        <v>1425</v>
      </c>
    </row>
    <row r="8" spans="1:21" ht="28.5" customHeight="1" x14ac:dyDescent="0.2">
      <c r="A8" s="27">
        <v>7</v>
      </c>
      <c r="B8" s="27" t="s">
        <v>1426</v>
      </c>
      <c r="C8" s="27" t="s">
        <v>1427</v>
      </c>
      <c r="D8" s="27" t="s">
        <v>105</v>
      </c>
      <c r="E8" s="28" t="s">
        <v>1428</v>
      </c>
      <c r="F8" s="27">
        <v>0</v>
      </c>
      <c r="G8" s="27">
        <v>300</v>
      </c>
      <c r="H8" s="27">
        <v>0</v>
      </c>
      <c r="I8" s="27">
        <v>85</v>
      </c>
      <c r="J8" s="27" t="s">
        <v>97</v>
      </c>
      <c r="K8" s="28" t="s">
        <v>1429</v>
      </c>
      <c r="L8" s="28" t="b">
        <v>1</v>
      </c>
      <c r="M8" s="28" t="b">
        <v>1</v>
      </c>
      <c r="N8" s="28">
        <v>0</v>
      </c>
      <c r="O8" s="28" t="s">
        <v>122</v>
      </c>
      <c r="P8" s="28"/>
      <c r="Q8" s="27" t="s">
        <v>72</v>
      </c>
      <c r="R8" s="27" t="s">
        <v>1399</v>
      </c>
      <c r="S8" s="27" t="s">
        <v>33</v>
      </c>
      <c r="T8" s="27" t="s">
        <v>33</v>
      </c>
      <c r="U8" s="27" t="s">
        <v>1430</v>
      </c>
    </row>
    <row r="9" spans="1:21" ht="28.5" customHeight="1" x14ac:dyDescent="0.2">
      <c r="A9" s="27">
        <v>8</v>
      </c>
      <c r="B9" s="27" t="s">
        <v>1431</v>
      </c>
      <c r="C9" s="27" t="s">
        <v>1432</v>
      </c>
      <c r="D9" s="27" t="s">
        <v>78</v>
      </c>
      <c r="E9" s="28" t="s">
        <v>1433</v>
      </c>
      <c r="F9" s="27">
        <v>0</v>
      </c>
      <c r="G9" s="27">
        <v>300</v>
      </c>
      <c r="H9" s="27">
        <v>0</v>
      </c>
      <c r="I9" s="27">
        <v>85</v>
      </c>
      <c r="J9" s="27" t="s">
        <v>97</v>
      </c>
      <c r="K9" s="28" t="s">
        <v>1434</v>
      </c>
      <c r="L9" s="28" t="b">
        <v>1</v>
      </c>
      <c r="M9" s="28" t="b">
        <v>1</v>
      </c>
      <c r="N9" s="28">
        <v>0</v>
      </c>
      <c r="O9" s="28" t="s">
        <v>855</v>
      </c>
      <c r="P9" s="28"/>
      <c r="Q9" s="27" t="s">
        <v>72</v>
      </c>
      <c r="R9" s="27" t="s">
        <v>1399</v>
      </c>
      <c r="S9" s="27" t="s">
        <v>33</v>
      </c>
      <c r="T9" s="27" t="s">
        <v>33</v>
      </c>
      <c r="U9" s="27" t="s">
        <v>1435</v>
      </c>
    </row>
    <row r="10" spans="1:21" ht="28.5" customHeight="1" x14ac:dyDescent="0.2">
      <c r="A10" s="27">
        <v>9</v>
      </c>
      <c r="B10" s="27" t="s">
        <v>1436</v>
      </c>
      <c r="C10" s="27" t="s">
        <v>1437</v>
      </c>
      <c r="D10" s="27" t="s">
        <v>135</v>
      </c>
      <c r="E10" s="28" t="s">
        <v>1438</v>
      </c>
      <c r="F10" s="27">
        <v>0</v>
      </c>
      <c r="G10" s="27">
        <v>300</v>
      </c>
      <c r="H10" s="27">
        <v>100</v>
      </c>
      <c r="I10" s="27">
        <v>85</v>
      </c>
      <c r="J10" s="27" t="s">
        <v>97</v>
      </c>
      <c r="K10" s="28"/>
      <c r="L10" s="28" t="b">
        <v>1</v>
      </c>
      <c r="M10" s="28" t="b">
        <v>1</v>
      </c>
      <c r="N10" s="28">
        <v>0</v>
      </c>
      <c r="O10" s="28" t="s">
        <v>122</v>
      </c>
      <c r="P10" s="28"/>
      <c r="Q10" s="27" t="s">
        <v>72</v>
      </c>
      <c r="R10" s="27" t="s">
        <v>1399</v>
      </c>
      <c r="S10" s="27" t="s">
        <v>33</v>
      </c>
      <c r="T10" s="27">
        <v>100</v>
      </c>
      <c r="U10" s="27" t="s">
        <v>1439</v>
      </c>
    </row>
    <row r="11" spans="1:21" ht="28.5" customHeight="1" x14ac:dyDescent="0.2">
      <c r="A11" s="27">
        <v>10</v>
      </c>
      <c r="B11" s="27" t="s">
        <v>1440</v>
      </c>
      <c r="C11" s="27" t="s">
        <v>1441</v>
      </c>
      <c r="D11" s="27" t="s">
        <v>86</v>
      </c>
      <c r="E11" s="28" t="s">
        <v>1442</v>
      </c>
      <c r="F11" s="27">
        <v>0</v>
      </c>
      <c r="G11" s="27">
        <v>100000</v>
      </c>
      <c r="H11" s="27">
        <v>0</v>
      </c>
      <c r="I11" s="27">
        <v>85</v>
      </c>
      <c r="J11" s="27" t="s">
        <v>97</v>
      </c>
      <c r="K11" s="28"/>
      <c r="L11" s="28" t="b">
        <v>1</v>
      </c>
      <c r="M11" s="28" t="b">
        <v>1</v>
      </c>
      <c r="N11" s="28">
        <v>0</v>
      </c>
      <c r="O11" s="28" t="s">
        <v>122</v>
      </c>
      <c r="P11" s="28" t="s">
        <v>1443</v>
      </c>
      <c r="Q11" s="27" t="s">
        <v>72</v>
      </c>
      <c r="R11" s="27" t="s">
        <v>1399</v>
      </c>
      <c r="S11" s="27" t="s">
        <v>33</v>
      </c>
      <c r="T11" s="27" t="s">
        <v>33</v>
      </c>
      <c r="U11" s="27" t="s">
        <v>1444</v>
      </c>
    </row>
    <row r="12" spans="1:21" ht="28.5" customHeight="1" x14ac:dyDescent="0.2">
      <c r="A12" s="27">
        <v>11</v>
      </c>
      <c r="B12" s="27" t="s">
        <v>1445</v>
      </c>
      <c r="C12" s="27" t="s">
        <v>1446</v>
      </c>
      <c r="D12" s="27" t="s">
        <v>216</v>
      </c>
      <c r="E12" s="28" t="s">
        <v>1447</v>
      </c>
      <c r="F12" s="27">
        <v>0</v>
      </c>
      <c r="G12" s="27">
        <v>100000</v>
      </c>
      <c r="H12" s="27">
        <v>150</v>
      </c>
      <c r="I12" s="27">
        <v>85</v>
      </c>
      <c r="J12" s="27" t="s">
        <v>97</v>
      </c>
      <c r="K12" s="28" t="s">
        <v>1448</v>
      </c>
      <c r="L12" s="28" t="b">
        <v>1</v>
      </c>
      <c r="M12" s="28" t="b">
        <v>1</v>
      </c>
      <c r="N12" s="28">
        <v>0</v>
      </c>
      <c r="O12" s="28" t="s">
        <v>268</v>
      </c>
      <c r="P12" s="28"/>
      <c r="Q12" s="27" t="s">
        <v>72</v>
      </c>
      <c r="R12" s="27" t="s">
        <v>1399</v>
      </c>
      <c r="S12" s="27" t="s">
        <v>33</v>
      </c>
      <c r="T12" s="27" t="s">
        <v>33</v>
      </c>
      <c r="U12" s="27" t="s">
        <v>1449</v>
      </c>
    </row>
    <row r="13" spans="1:21" ht="28.5" customHeight="1" x14ac:dyDescent="0.2">
      <c r="A13" s="27">
        <v>12</v>
      </c>
      <c r="B13" s="27" t="s">
        <v>1450</v>
      </c>
      <c r="C13" s="27" t="s">
        <v>1451</v>
      </c>
      <c r="D13" s="27" t="s">
        <v>199</v>
      </c>
      <c r="E13" s="28" t="s">
        <v>1452</v>
      </c>
      <c r="F13" s="27">
        <v>0</v>
      </c>
      <c r="G13" s="27">
        <v>100000</v>
      </c>
      <c r="H13" s="27">
        <v>50</v>
      </c>
      <c r="I13" s="27">
        <v>85</v>
      </c>
      <c r="J13" s="27" t="s">
        <v>97</v>
      </c>
      <c r="K13" s="28"/>
      <c r="L13" s="28" t="b">
        <v>1</v>
      </c>
      <c r="M13" s="28" t="b">
        <v>1</v>
      </c>
      <c r="N13" s="28">
        <v>0</v>
      </c>
      <c r="O13" s="28" t="s">
        <v>30</v>
      </c>
      <c r="P13" s="28" t="s">
        <v>1453</v>
      </c>
      <c r="Q13" s="27" t="s">
        <v>72</v>
      </c>
      <c r="R13" s="27" t="s">
        <v>1399</v>
      </c>
      <c r="S13" s="27" t="s">
        <v>33</v>
      </c>
      <c r="T13" s="27" t="s">
        <v>33</v>
      </c>
      <c r="U13" s="27" t="s">
        <v>1454</v>
      </c>
    </row>
    <row r="14" spans="1:21" ht="28.5" customHeight="1" x14ac:dyDescent="0.2">
      <c r="A14" s="27">
        <v>13</v>
      </c>
      <c r="B14" s="27" t="s">
        <v>1455</v>
      </c>
      <c r="C14" s="27" t="s">
        <v>1456</v>
      </c>
      <c r="D14" s="27" t="s">
        <v>356</v>
      </c>
      <c r="E14" s="28" t="s">
        <v>1457</v>
      </c>
      <c r="F14" s="27">
        <v>0</v>
      </c>
      <c r="G14" s="27">
        <v>100000</v>
      </c>
      <c r="H14" s="27">
        <v>0</v>
      </c>
      <c r="I14" s="27">
        <v>85</v>
      </c>
      <c r="J14" s="27" t="s">
        <v>97</v>
      </c>
      <c r="K14" s="28" t="s">
        <v>1458</v>
      </c>
      <c r="L14" s="28" t="b">
        <v>1</v>
      </c>
      <c r="M14" s="28" t="b">
        <v>1</v>
      </c>
      <c r="N14" s="28">
        <v>0</v>
      </c>
      <c r="O14" s="28" t="s">
        <v>180</v>
      </c>
      <c r="P14" s="28"/>
      <c r="Q14" s="27" t="s">
        <v>72</v>
      </c>
      <c r="R14" s="27" t="s">
        <v>1399</v>
      </c>
      <c r="S14" s="27" t="s">
        <v>33</v>
      </c>
      <c r="T14" s="27" t="s">
        <v>33</v>
      </c>
      <c r="U14" s="27" t="s">
        <v>1459</v>
      </c>
    </row>
    <row r="15" spans="1:21" ht="28.5" customHeight="1" x14ac:dyDescent="0.2">
      <c r="A15" s="27">
        <v>14</v>
      </c>
      <c r="B15" s="27" t="s">
        <v>1460</v>
      </c>
      <c r="C15" s="27" t="s">
        <v>1461</v>
      </c>
      <c r="D15" s="27" t="s">
        <v>505</v>
      </c>
      <c r="E15" s="28" t="s">
        <v>1462</v>
      </c>
      <c r="F15" s="27">
        <v>0</v>
      </c>
      <c r="G15" s="27">
        <v>10000</v>
      </c>
      <c r="H15" s="27">
        <v>0</v>
      </c>
      <c r="I15" s="27">
        <v>85</v>
      </c>
      <c r="J15" s="27" t="s">
        <v>97</v>
      </c>
      <c r="K15" s="28" t="s">
        <v>1463</v>
      </c>
      <c r="L15" s="28" t="b">
        <v>1</v>
      </c>
      <c r="M15" s="28" t="b">
        <v>1</v>
      </c>
      <c r="N15" s="28">
        <v>0</v>
      </c>
      <c r="O15" s="28" t="s">
        <v>666</v>
      </c>
      <c r="P15" s="28"/>
      <c r="Q15" s="27" t="s">
        <v>72</v>
      </c>
      <c r="R15" s="27" t="s">
        <v>1399</v>
      </c>
      <c r="S15" s="27" t="s">
        <v>33</v>
      </c>
      <c r="T15" s="27" t="s">
        <v>33</v>
      </c>
      <c r="U15" s="27" t="s">
        <v>1464</v>
      </c>
    </row>
  </sheetData>
  <conditionalFormatting sqref="D1">
    <cfRule type="containsText" dxfId="55" priority="1" operator="containsText" text="Dispara">
      <formula>NOT(ISERROR(SEARCH(("Dispara"),(D1))))</formula>
    </cfRule>
    <cfRule type="containsText" dxfId="54" priority="2" operator="containsText" text="Solar">
      <formula>NOT(ISERROR(SEARCH(("Solar"),(D1))))</formula>
    </cfRule>
    <cfRule type="containsText" dxfId="53" priority="3" operator="containsText" text="Defesa">
      <formula>NOT(ISERROR(SEARCH(("Defesa"),(D1))))</formula>
    </cfRule>
    <cfRule type="containsText" dxfId="52" priority="4" operator="containsText" text="Bomba">
      <formula>NOT(ISERROR(SEARCH(("Bomba"),(D1))))</formula>
    </cfRule>
    <cfRule type="containsText" dxfId="51" priority="5" operator="containsText" text="Gelo">
      <formula>NOT(ISERROR(SEARCH(("Gelo"),(D1))))</formula>
    </cfRule>
    <cfRule type="containsText" dxfId="50" priority="6" operator="containsText" text="Físico">
      <formula>NOT(ISERROR(SEARCH(("Físico"),(D1))))</formula>
    </cfRule>
    <cfRule type="containsText" dxfId="49" priority="7" operator="containsText" text="Veneno">
      <formula>NOT(ISERROR(SEARCH(("Veneno"),(D1))))</formula>
    </cfRule>
    <cfRule type="containsText" dxfId="48" priority="8" operator="containsText" text="Suporte">
      <formula>NOT(ISERROR(SEARCH(("Suporte"),(D1))))</formula>
    </cfRule>
    <cfRule type="containsText" dxfId="47" priority="9" operator="containsText" text="Mente">
      <formula>NOT(ISERROR(SEARCH(("Mente"),(D1))))</formula>
    </cfRule>
    <cfRule type="containsText" dxfId="46" priority="10" operator="containsText" text="Fogo">
      <formula>NOT(ISERROR(SEARCH(("Fogo"),(D1))))</formula>
    </cfRule>
    <cfRule type="containsText" dxfId="45" priority="11" operator="containsText" text="Perfurante">
      <formula>NOT(ISERROR(SEARCH(("Perfurante"),(D1))))</formula>
    </cfRule>
    <cfRule type="containsText" dxfId="44" priority="12" operator="containsText" text="Arremesso">
      <formula>NOT(ISERROR(SEARCH(("Arremesso"),(D1))))</formula>
    </cfRule>
    <cfRule type="containsText" dxfId="43" priority="13" operator="containsText" text="Elétrica">
      <formula>NOT(ISERROR(SEARCH(("Elétrica"),(D1))))</formula>
    </cfRule>
    <cfRule type="containsText" dxfId="42" priority="14" operator="containsText" text="Sombra">
      <formula>NOT(ISERROR(SEARCH(("Sombra"),(D1))))</formula>
    </cfRule>
  </conditionalFormatting>
  <dataValidations count="4">
    <dataValidation type="list" allowBlank="1" sqref="O2:O15" xr:uid="{00000000-0002-0000-0100-000000000000}">
      <formula1>"Common,Uncommon,Rare,Epic,Legendary,Mythical,Não especificado"</formula1>
    </dataValidation>
    <dataValidation type="list" allowBlank="1" showErrorMessage="1" sqref="R2:R15" xr:uid="{00000000-0002-0000-0100-000001000000}">
      <formula1>"Power Mints"</formula1>
    </dataValidation>
    <dataValidation type="list" allowBlank="1" showErrorMessage="1" sqref="D2:D15" xr:uid="{00000000-0002-0000-0100-000002000000}">
      <formula1>"Dispara,Esclarecida,Endurecida,Bombarda,Arma,Refrea,Surra,Perfura,Aquecida,Resfriada,Fila,Envenenada,Encanta,Sombra"</formula1>
    </dataValidation>
    <dataValidation type="list" allowBlank="1" showErrorMessage="1" sqref="Q2:Q15" xr:uid="{00000000-0002-0000-0100-000003000000}">
      <formula1>"Pea,Flower,Nut,Root,Leaf,Fruit,Bean,Berry,Vegetable,Murshroom,Cactus,Pepper,Wood"</formula1>
    </dataValidation>
  </dataValidations>
  <pageMargins left="0.511811024" right="0.511811024" top="0.78740157499999996" bottom="0.78740157499999996" header="0.31496062000000002" footer="0.31496062000000002"/>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6"/>
  <sheetViews>
    <sheetView workbookViewId="0">
      <selection activeCell="I2" sqref="I2:I16"/>
    </sheetView>
  </sheetViews>
  <sheetFormatPr defaultColWidth="12.5703125" defaultRowHeight="15.75" customHeight="1" x14ac:dyDescent="0.2"/>
  <cols>
    <col min="5" max="5" width="14.85546875" customWidth="1"/>
    <col min="6" max="8" width="12" customWidth="1"/>
    <col min="9" max="9" width="12" style="85" customWidth="1"/>
    <col min="13" max="14" width="11.140625" customWidth="1"/>
    <col min="15" max="15" width="14.42578125" customWidth="1"/>
    <col min="16" max="16" width="13.5703125" customWidth="1"/>
    <col min="20" max="21" width="11.5703125" customWidth="1"/>
    <col min="23" max="23" width="16" customWidth="1"/>
    <col min="24" max="25" width="18.42578125" customWidth="1"/>
  </cols>
  <sheetData>
    <row r="1" spans="1:25" ht="25.5"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29" t="s">
        <v>24</v>
      </c>
    </row>
    <row r="2" spans="1:25" ht="27" customHeight="1" x14ac:dyDescent="0.2">
      <c r="A2" s="6">
        <v>1</v>
      </c>
      <c r="B2" s="7" t="s">
        <v>1465</v>
      </c>
      <c r="C2" s="7" t="s">
        <v>1466</v>
      </c>
      <c r="D2" s="8" t="s">
        <v>49</v>
      </c>
      <c r="E2" s="7" t="s">
        <v>1467</v>
      </c>
      <c r="F2" s="7">
        <v>100</v>
      </c>
      <c r="G2" s="7">
        <v>300</v>
      </c>
      <c r="H2" s="7">
        <v>0</v>
      </c>
      <c r="I2" s="86">
        <v>7.5</v>
      </c>
      <c r="J2" s="7" t="s">
        <v>1468</v>
      </c>
      <c r="K2" s="7"/>
      <c r="L2" s="7"/>
      <c r="M2" s="9" t="b">
        <v>0</v>
      </c>
      <c r="N2" s="9" t="b">
        <v>0</v>
      </c>
      <c r="O2" s="7">
        <v>0</v>
      </c>
      <c r="P2" s="7" t="s">
        <v>30</v>
      </c>
      <c r="Q2" s="7" t="s">
        <v>226</v>
      </c>
      <c r="R2" s="8" t="s">
        <v>72</v>
      </c>
      <c r="S2" s="8" t="s">
        <v>1469</v>
      </c>
      <c r="T2" s="7" t="s">
        <v>33</v>
      </c>
      <c r="U2" s="7" t="s">
        <v>33</v>
      </c>
      <c r="V2" s="7" t="s">
        <v>1470</v>
      </c>
      <c r="W2" s="7" t="s">
        <v>360</v>
      </c>
      <c r="X2" s="7" t="s">
        <v>1471</v>
      </c>
      <c r="Y2" s="18" t="s">
        <v>1472</v>
      </c>
    </row>
    <row r="3" spans="1:25" ht="27" customHeight="1" x14ac:dyDescent="0.2">
      <c r="A3" s="11">
        <v>2</v>
      </c>
      <c r="B3" s="12" t="s">
        <v>1473</v>
      </c>
      <c r="C3" s="12" t="s">
        <v>1474</v>
      </c>
      <c r="D3" s="13" t="s">
        <v>356</v>
      </c>
      <c r="E3" s="12" t="s">
        <v>1475</v>
      </c>
      <c r="F3" s="12">
        <v>50</v>
      </c>
      <c r="G3" s="12">
        <v>300</v>
      </c>
      <c r="H3" s="12">
        <v>0</v>
      </c>
      <c r="I3" s="87">
        <v>30</v>
      </c>
      <c r="J3" s="12" t="s">
        <v>1468</v>
      </c>
      <c r="K3" s="12"/>
      <c r="L3" s="12"/>
      <c r="M3" s="14" t="b">
        <v>0</v>
      </c>
      <c r="N3" s="14" t="b">
        <v>0</v>
      </c>
      <c r="O3" s="12">
        <v>0</v>
      </c>
      <c r="P3" s="12" t="s">
        <v>122</v>
      </c>
      <c r="Q3" s="12" t="s">
        <v>226</v>
      </c>
      <c r="R3" s="13" t="s">
        <v>43</v>
      </c>
      <c r="S3" s="13" t="s">
        <v>1469</v>
      </c>
      <c r="T3" s="12" t="s">
        <v>33</v>
      </c>
      <c r="U3" s="12" t="s">
        <v>33</v>
      </c>
      <c r="V3" s="12" t="s">
        <v>1470</v>
      </c>
      <c r="W3" s="12" t="s">
        <v>11</v>
      </c>
      <c r="X3" s="12" t="s">
        <v>1476</v>
      </c>
      <c r="Y3" s="17" t="s">
        <v>1477</v>
      </c>
    </row>
    <row r="4" spans="1:25" ht="27" customHeight="1" x14ac:dyDescent="0.2">
      <c r="A4" s="6">
        <v>3</v>
      </c>
      <c r="B4" s="7" t="s">
        <v>1478</v>
      </c>
      <c r="C4" s="7" t="s">
        <v>1479</v>
      </c>
      <c r="D4" s="8" t="s">
        <v>95</v>
      </c>
      <c r="E4" s="7" t="s">
        <v>1480</v>
      </c>
      <c r="F4" s="7">
        <v>50</v>
      </c>
      <c r="G4" s="7">
        <v>300</v>
      </c>
      <c r="H4" s="7">
        <v>0</v>
      </c>
      <c r="I4" s="86">
        <v>50</v>
      </c>
      <c r="J4" s="7" t="s">
        <v>1468</v>
      </c>
      <c r="K4" s="7" t="s">
        <v>1481</v>
      </c>
      <c r="L4" s="7"/>
      <c r="M4" s="9" t="b">
        <v>0</v>
      </c>
      <c r="N4" s="9" t="b">
        <v>0</v>
      </c>
      <c r="O4" s="7">
        <v>0</v>
      </c>
      <c r="P4" s="7" t="s">
        <v>268</v>
      </c>
      <c r="Q4" s="7" t="s">
        <v>226</v>
      </c>
      <c r="R4" s="8" t="s">
        <v>72</v>
      </c>
      <c r="S4" s="8" t="s">
        <v>1469</v>
      </c>
      <c r="T4" s="7" t="s">
        <v>33</v>
      </c>
      <c r="U4" s="7" t="s">
        <v>33</v>
      </c>
      <c r="V4" s="7" t="s">
        <v>1470</v>
      </c>
      <c r="W4" s="7" t="s">
        <v>11</v>
      </c>
      <c r="X4" s="7" t="s">
        <v>1482</v>
      </c>
      <c r="Y4" s="18" t="s">
        <v>1483</v>
      </c>
    </row>
    <row r="5" spans="1:25" ht="27" customHeight="1" x14ac:dyDescent="0.2">
      <c r="A5" s="11">
        <v>4</v>
      </c>
      <c r="B5" s="12" t="s">
        <v>1484</v>
      </c>
      <c r="C5" s="12" t="s">
        <v>1485</v>
      </c>
      <c r="D5" s="13" t="s">
        <v>27</v>
      </c>
      <c r="E5" s="12" t="s">
        <v>1486</v>
      </c>
      <c r="F5" s="12">
        <v>125</v>
      </c>
      <c r="G5" s="12">
        <v>300</v>
      </c>
      <c r="H5" s="12">
        <v>30</v>
      </c>
      <c r="I5" s="87">
        <v>10</v>
      </c>
      <c r="J5" s="12" t="s">
        <v>1468</v>
      </c>
      <c r="K5" s="12"/>
      <c r="L5" s="12"/>
      <c r="M5" s="14" t="b">
        <v>0</v>
      </c>
      <c r="N5" s="14" t="b">
        <v>0</v>
      </c>
      <c r="O5" s="12">
        <v>0</v>
      </c>
      <c r="P5" s="12" t="s">
        <v>30</v>
      </c>
      <c r="Q5" s="12"/>
      <c r="R5" s="13" t="s">
        <v>270</v>
      </c>
      <c r="S5" s="13" t="s">
        <v>1487</v>
      </c>
      <c r="T5" s="12" t="s">
        <v>33</v>
      </c>
      <c r="U5" s="12" t="s">
        <v>33</v>
      </c>
      <c r="V5" s="12" t="s">
        <v>1470</v>
      </c>
      <c r="W5" s="12" t="s">
        <v>35</v>
      </c>
      <c r="X5" s="12" t="s">
        <v>1488</v>
      </c>
      <c r="Y5" s="17" t="s">
        <v>1489</v>
      </c>
    </row>
    <row r="6" spans="1:25" ht="27" customHeight="1" x14ac:dyDescent="0.2">
      <c r="A6" s="6">
        <v>5</v>
      </c>
      <c r="B6" s="30" t="s">
        <v>1490</v>
      </c>
      <c r="C6" s="30" t="s">
        <v>1491</v>
      </c>
      <c r="D6" s="30" t="s">
        <v>49</v>
      </c>
      <c r="E6" s="31" t="s">
        <v>1492</v>
      </c>
      <c r="F6" s="30">
        <v>50</v>
      </c>
      <c r="G6" s="30">
        <v>1000</v>
      </c>
      <c r="H6" s="30">
        <v>0</v>
      </c>
      <c r="I6" s="71">
        <v>20</v>
      </c>
      <c r="J6" s="7" t="s">
        <v>1468</v>
      </c>
      <c r="K6" s="30"/>
      <c r="L6" s="30"/>
      <c r="M6" s="32" t="b">
        <v>0</v>
      </c>
      <c r="N6" s="32" t="b">
        <v>0</v>
      </c>
      <c r="O6" s="7">
        <v>0</v>
      </c>
      <c r="P6" s="7" t="s">
        <v>30</v>
      </c>
      <c r="Q6" s="30"/>
      <c r="R6" s="30" t="s">
        <v>270</v>
      </c>
      <c r="S6" s="8" t="s">
        <v>1487</v>
      </c>
      <c r="T6" s="7" t="s">
        <v>33</v>
      </c>
      <c r="U6" s="7" t="s">
        <v>33</v>
      </c>
      <c r="V6" s="7" t="s">
        <v>1470</v>
      </c>
      <c r="W6" s="7" t="s">
        <v>54</v>
      </c>
      <c r="X6" s="7" t="s">
        <v>1488</v>
      </c>
      <c r="Y6" s="18" t="s">
        <v>1493</v>
      </c>
    </row>
    <row r="7" spans="1:25" ht="27" customHeight="1" x14ac:dyDescent="0.2">
      <c r="A7" s="11">
        <v>6</v>
      </c>
      <c r="B7" s="33" t="s">
        <v>1494</v>
      </c>
      <c r="C7" s="33" t="s">
        <v>1495</v>
      </c>
      <c r="D7" s="33" t="s">
        <v>105</v>
      </c>
      <c r="E7" s="34" t="s">
        <v>1496</v>
      </c>
      <c r="F7" s="35">
        <v>100</v>
      </c>
      <c r="G7" s="35">
        <v>300</v>
      </c>
      <c r="H7" s="35">
        <v>40</v>
      </c>
      <c r="I7" s="88">
        <v>40</v>
      </c>
      <c r="J7" s="12" t="s">
        <v>1468</v>
      </c>
      <c r="K7" s="36"/>
      <c r="L7" s="36"/>
      <c r="M7" s="37" t="b">
        <v>0</v>
      </c>
      <c r="N7" s="37" t="b">
        <v>0</v>
      </c>
      <c r="O7" s="12">
        <v>0</v>
      </c>
      <c r="P7" s="34" t="s">
        <v>30</v>
      </c>
      <c r="Q7" s="36"/>
      <c r="R7" s="33" t="s">
        <v>270</v>
      </c>
      <c r="S7" s="38" t="s">
        <v>1487</v>
      </c>
      <c r="T7" s="12" t="s">
        <v>33</v>
      </c>
      <c r="U7" s="12" t="s">
        <v>33</v>
      </c>
      <c r="V7" s="12" t="s">
        <v>1470</v>
      </c>
      <c r="W7" s="12" t="s">
        <v>111</v>
      </c>
      <c r="X7" s="12" t="s">
        <v>1488</v>
      </c>
      <c r="Y7" s="17" t="s">
        <v>1497</v>
      </c>
    </row>
    <row r="8" spans="1:25" ht="27" customHeight="1" x14ac:dyDescent="0.2">
      <c r="A8" s="6">
        <v>7</v>
      </c>
      <c r="B8" s="39" t="s">
        <v>1498</v>
      </c>
      <c r="C8" s="39" t="s">
        <v>1499</v>
      </c>
      <c r="D8" s="39" t="s">
        <v>95</v>
      </c>
      <c r="E8" s="40" t="s">
        <v>1500</v>
      </c>
      <c r="F8" s="41">
        <v>100</v>
      </c>
      <c r="G8" s="41">
        <v>300</v>
      </c>
      <c r="H8" s="41">
        <v>0</v>
      </c>
      <c r="I8" s="89">
        <v>40</v>
      </c>
      <c r="J8" s="7" t="s">
        <v>1468</v>
      </c>
      <c r="K8" s="42"/>
      <c r="L8" s="42"/>
      <c r="M8" s="43" t="b">
        <v>0</v>
      </c>
      <c r="N8" s="43" t="b">
        <v>0</v>
      </c>
      <c r="O8" s="7">
        <v>0</v>
      </c>
      <c r="P8" s="40" t="s">
        <v>122</v>
      </c>
      <c r="Q8" s="42"/>
      <c r="R8" s="39" t="s">
        <v>72</v>
      </c>
      <c r="S8" s="44" t="s">
        <v>1487</v>
      </c>
      <c r="T8" s="7" t="s">
        <v>33</v>
      </c>
      <c r="U8" s="7" t="s">
        <v>33</v>
      </c>
      <c r="V8" s="7" t="s">
        <v>1470</v>
      </c>
      <c r="W8" s="7" t="s">
        <v>11</v>
      </c>
      <c r="X8" s="7" t="s">
        <v>1488</v>
      </c>
      <c r="Y8" s="18" t="s">
        <v>1501</v>
      </c>
    </row>
    <row r="9" spans="1:25" ht="27" customHeight="1" x14ac:dyDescent="0.2">
      <c r="A9" s="11">
        <v>8</v>
      </c>
      <c r="B9" s="33" t="s">
        <v>1502</v>
      </c>
      <c r="C9" s="33" t="s">
        <v>1503</v>
      </c>
      <c r="D9" s="33" t="s">
        <v>135</v>
      </c>
      <c r="E9" s="34" t="s">
        <v>1504</v>
      </c>
      <c r="F9" s="35">
        <v>125</v>
      </c>
      <c r="G9" s="35">
        <v>300</v>
      </c>
      <c r="H9" s="35">
        <v>40</v>
      </c>
      <c r="I9" s="88">
        <v>60</v>
      </c>
      <c r="J9" s="12" t="s">
        <v>1468</v>
      </c>
      <c r="K9" s="36"/>
      <c r="L9" s="36"/>
      <c r="M9" s="37" t="b">
        <v>0</v>
      </c>
      <c r="N9" s="37" t="b">
        <v>0</v>
      </c>
      <c r="O9" s="12">
        <v>0</v>
      </c>
      <c r="P9" s="34" t="s">
        <v>122</v>
      </c>
      <c r="Q9" s="36"/>
      <c r="R9" s="33" t="s">
        <v>31</v>
      </c>
      <c r="S9" s="38" t="s">
        <v>1487</v>
      </c>
      <c r="T9" s="12" t="s">
        <v>33</v>
      </c>
      <c r="U9" s="12" t="s">
        <v>33</v>
      </c>
      <c r="V9" s="12" t="s">
        <v>1470</v>
      </c>
      <c r="W9" s="12" t="s">
        <v>35</v>
      </c>
      <c r="X9" s="12" t="s">
        <v>1488</v>
      </c>
      <c r="Y9" s="17" t="s">
        <v>1505</v>
      </c>
    </row>
    <row r="10" spans="1:25" ht="27" customHeight="1" x14ac:dyDescent="0.2">
      <c r="A10" s="6">
        <v>9</v>
      </c>
      <c r="B10" s="30" t="s">
        <v>1506</v>
      </c>
      <c r="C10" s="30" t="s">
        <v>1507</v>
      </c>
      <c r="D10" s="30" t="s">
        <v>27</v>
      </c>
      <c r="E10" s="31" t="s">
        <v>1508</v>
      </c>
      <c r="F10" s="30">
        <v>125</v>
      </c>
      <c r="G10" s="30">
        <v>300</v>
      </c>
      <c r="H10" s="30">
        <v>60</v>
      </c>
      <c r="I10" s="71">
        <v>40</v>
      </c>
      <c r="J10" s="7" t="s">
        <v>1468</v>
      </c>
      <c r="K10" s="30"/>
      <c r="L10" s="30"/>
      <c r="M10" s="32" t="b">
        <v>0</v>
      </c>
      <c r="N10" s="32" t="b">
        <v>0</v>
      </c>
      <c r="O10" s="7">
        <v>0</v>
      </c>
      <c r="P10" s="7" t="s">
        <v>180</v>
      </c>
      <c r="Q10" s="30"/>
      <c r="R10" s="30" t="s">
        <v>72</v>
      </c>
      <c r="S10" s="44" t="s">
        <v>1487</v>
      </c>
      <c r="T10" s="7" t="s">
        <v>33</v>
      </c>
      <c r="U10" s="7" t="s">
        <v>33</v>
      </c>
      <c r="V10" s="7" t="s">
        <v>1470</v>
      </c>
      <c r="W10" s="7" t="s">
        <v>35</v>
      </c>
      <c r="X10" s="7" t="s">
        <v>1488</v>
      </c>
      <c r="Y10" s="18" t="s">
        <v>1509</v>
      </c>
    </row>
    <row r="11" spans="1:25" ht="27" customHeight="1" x14ac:dyDescent="0.2">
      <c r="A11" s="11">
        <v>10</v>
      </c>
      <c r="B11" s="39" t="s">
        <v>1510</v>
      </c>
      <c r="C11" s="39" t="s">
        <v>1511</v>
      </c>
      <c r="D11" s="39" t="s">
        <v>68</v>
      </c>
      <c r="E11" s="40" t="s">
        <v>1512</v>
      </c>
      <c r="F11" s="41">
        <v>175</v>
      </c>
      <c r="G11" s="41">
        <v>300</v>
      </c>
      <c r="H11" s="41">
        <v>160</v>
      </c>
      <c r="I11" s="89">
        <v>120</v>
      </c>
      <c r="J11" s="12" t="s">
        <v>1468</v>
      </c>
      <c r="K11" s="42"/>
      <c r="L11" s="42"/>
      <c r="M11" s="43" t="b">
        <v>0</v>
      </c>
      <c r="N11" s="43" t="b">
        <v>0</v>
      </c>
      <c r="O11" s="12">
        <v>0</v>
      </c>
      <c r="P11" s="40" t="s">
        <v>268</v>
      </c>
      <c r="Q11" s="42"/>
      <c r="R11" s="39" t="s">
        <v>72</v>
      </c>
      <c r="S11" s="38" t="s">
        <v>1487</v>
      </c>
      <c r="T11" s="12" t="s">
        <v>33</v>
      </c>
      <c r="U11" s="12" t="s">
        <v>33</v>
      </c>
      <c r="V11" s="12" t="s">
        <v>1470</v>
      </c>
      <c r="W11" s="12" t="s">
        <v>35</v>
      </c>
      <c r="X11" s="12" t="s">
        <v>1513</v>
      </c>
      <c r="Y11" s="17" t="s">
        <v>1514</v>
      </c>
    </row>
    <row r="12" spans="1:25" ht="27" customHeight="1" x14ac:dyDescent="0.2">
      <c r="A12" s="6">
        <v>11</v>
      </c>
      <c r="B12" s="39" t="s">
        <v>1515</v>
      </c>
      <c r="C12" s="39" t="s">
        <v>1516</v>
      </c>
      <c r="D12" s="39" t="s">
        <v>356</v>
      </c>
      <c r="E12" s="40" t="s">
        <v>1517</v>
      </c>
      <c r="F12" s="41">
        <v>250</v>
      </c>
      <c r="G12" s="41">
        <v>300</v>
      </c>
      <c r="H12" s="41">
        <v>30</v>
      </c>
      <c r="I12" s="89">
        <v>10</v>
      </c>
      <c r="J12" s="7" t="s">
        <v>1468</v>
      </c>
      <c r="K12" s="42"/>
      <c r="L12" s="42"/>
      <c r="M12" s="43" t="b">
        <v>0</v>
      </c>
      <c r="N12" s="43" t="b">
        <v>0</v>
      </c>
      <c r="O12" s="7">
        <v>0</v>
      </c>
      <c r="P12" s="40" t="s">
        <v>666</v>
      </c>
      <c r="Q12" s="42"/>
      <c r="R12" s="39" t="s">
        <v>31</v>
      </c>
      <c r="S12" s="44" t="s">
        <v>1487</v>
      </c>
      <c r="T12" s="7" t="s">
        <v>33</v>
      </c>
      <c r="U12" s="7" t="s">
        <v>33</v>
      </c>
      <c r="V12" s="7" t="s">
        <v>1470</v>
      </c>
      <c r="W12" s="7" t="s">
        <v>35</v>
      </c>
      <c r="X12" s="7" t="s">
        <v>1518</v>
      </c>
      <c r="Y12" s="18" t="s">
        <v>1519</v>
      </c>
    </row>
    <row r="13" spans="1:25" ht="27" customHeight="1" x14ac:dyDescent="0.2">
      <c r="A13" s="11">
        <v>12</v>
      </c>
      <c r="B13" s="33" t="s">
        <v>1520</v>
      </c>
      <c r="C13" s="33" t="s">
        <v>1521</v>
      </c>
      <c r="D13" s="33" t="s">
        <v>78</v>
      </c>
      <c r="E13" s="34" t="s">
        <v>1522</v>
      </c>
      <c r="F13" s="35">
        <v>200</v>
      </c>
      <c r="G13" s="35">
        <v>300</v>
      </c>
      <c r="H13" s="35">
        <v>40</v>
      </c>
      <c r="I13" s="88">
        <v>40</v>
      </c>
      <c r="J13" s="12" t="s">
        <v>1468</v>
      </c>
      <c r="K13" s="36"/>
      <c r="L13" s="36"/>
      <c r="M13" s="37" t="b">
        <v>0</v>
      </c>
      <c r="N13" s="37" t="b">
        <v>0</v>
      </c>
      <c r="O13" s="12">
        <v>0</v>
      </c>
      <c r="P13" s="34" t="s">
        <v>666</v>
      </c>
      <c r="Q13" s="36"/>
      <c r="R13" s="33" t="s">
        <v>31</v>
      </c>
      <c r="S13" s="38" t="s">
        <v>1487</v>
      </c>
      <c r="T13" s="12" t="s">
        <v>33</v>
      </c>
      <c r="U13" s="12" t="s">
        <v>33</v>
      </c>
      <c r="V13" s="12" t="s">
        <v>1470</v>
      </c>
      <c r="W13" s="12" t="s">
        <v>35</v>
      </c>
      <c r="X13" s="12" t="s">
        <v>1488</v>
      </c>
      <c r="Y13" s="17" t="s">
        <v>1523</v>
      </c>
    </row>
    <row r="14" spans="1:25" ht="27" customHeight="1" x14ac:dyDescent="0.2">
      <c r="A14" s="6">
        <v>13</v>
      </c>
      <c r="B14" s="39" t="s">
        <v>1524</v>
      </c>
      <c r="C14" s="39" t="s">
        <v>1525</v>
      </c>
      <c r="D14" s="39" t="s">
        <v>27</v>
      </c>
      <c r="E14" s="40" t="s">
        <v>1526</v>
      </c>
      <c r="F14" s="41">
        <v>125</v>
      </c>
      <c r="G14" s="41">
        <v>300</v>
      </c>
      <c r="H14" s="41">
        <v>100</v>
      </c>
      <c r="I14" s="89">
        <v>5</v>
      </c>
      <c r="J14" s="40" t="s">
        <v>1468</v>
      </c>
      <c r="K14" s="42"/>
      <c r="L14" s="42"/>
      <c r="M14" s="43" t="b">
        <v>0</v>
      </c>
      <c r="N14" s="43" t="b">
        <v>0</v>
      </c>
      <c r="O14" s="45">
        <v>0</v>
      </c>
      <c r="P14" s="40" t="s">
        <v>30</v>
      </c>
      <c r="Q14" s="42" t="s">
        <v>226</v>
      </c>
      <c r="R14" s="39" t="s">
        <v>72</v>
      </c>
      <c r="S14" s="44" t="s">
        <v>1527</v>
      </c>
      <c r="T14" s="7" t="s">
        <v>33</v>
      </c>
      <c r="U14" s="7">
        <v>50</v>
      </c>
      <c r="V14" s="7" t="s">
        <v>1470</v>
      </c>
      <c r="W14" s="7" t="s">
        <v>35</v>
      </c>
      <c r="X14" s="7" t="s">
        <v>1528</v>
      </c>
      <c r="Y14" s="18" t="s">
        <v>1529</v>
      </c>
    </row>
    <row r="15" spans="1:25" ht="27" customHeight="1" x14ac:dyDescent="0.2">
      <c r="A15" s="11">
        <v>14</v>
      </c>
      <c r="B15" s="33" t="s">
        <v>1530</v>
      </c>
      <c r="C15" s="33" t="s">
        <v>1531</v>
      </c>
      <c r="D15" s="33" t="s">
        <v>49</v>
      </c>
      <c r="E15" s="34" t="s">
        <v>1532</v>
      </c>
      <c r="F15" s="35">
        <v>50</v>
      </c>
      <c r="G15" s="35">
        <v>2500</v>
      </c>
      <c r="H15" s="35">
        <v>20</v>
      </c>
      <c r="I15" s="88">
        <v>10</v>
      </c>
      <c r="J15" s="34" t="s">
        <v>1468</v>
      </c>
      <c r="K15" s="36"/>
      <c r="L15" s="36"/>
      <c r="M15" s="37" t="b">
        <v>0</v>
      </c>
      <c r="N15" s="37" t="b">
        <v>0</v>
      </c>
      <c r="O15" s="46">
        <v>0</v>
      </c>
      <c r="P15" s="34" t="s">
        <v>122</v>
      </c>
      <c r="Q15" s="36" t="s">
        <v>226</v>
      </c>
      <c r="R15" s="33" t="s">
        <v>130</v>
      </c>
      <c r="S15" s="38" t="s">
        <v>1527</v>
      </c>
      <c r="T15" s="12" t="s">
        <v>33</v>
      </c>
      <c r="U15" s="12" t="s">
        <v>33</v>
      </c>
      <c r="V15" s="12" t="s">
        <v>1470</v>
      </c>
      <c r="W15" s="12" t="s">
        <v>54</v>
      </c>
      <c r="X15" s="12" t="s">
        <v>1528</v>
      </c>
      <c r="Y15" s="17" t="s">
        <v>1533</v>
      </c>
    </row>
    <row r="16" spans="1:25" ht="27" customHeight="1" x14ac:dyDescent="0.2">
      <c r="A16" s="47">
        <v>15</v>
      </c>
      <c r="B16" s="48" t="s">
        <v>1534</v>
      </c>
      <c r="C16" s="48" t="s">
        <v>1535</v>
      </c>
      <c r="D16" s="48" t="s">
        <v>105</v>
      </c>
      <c r="E16" s="49" t="s">
        <v>1536</v>
      </c>
      <c r="F16" s="50">
        <v>75</v>
      </c>
      <c r="G16" s="50">
        <v>300</v>
      </c>
      <c r="H16" s="50">
        <v>30</v>
      </c>
      <c r="I16" s="90">
        <v>5</v>
      </c>
      <c r="J16" s="49" t="s">
        <v>1468</v>
      </c>
      <c r="K16" s="51"/>
      <c r="L16" s="51"/>
      <c r="M16" s="52" t="b">
        <v>0</v>
      </c>
      <c r="N16" s="52" t="b">
        <v>0</v>
      </c>
      <c r="O16" s="53">
        <v>0</v>
      </c>
      <c r="P16" s="49" t="s">
        <v>180</v>
      </c>
      <c r="Q16" s="51" t="s">
        <v>226</v>
      </c>
      <c r="R16" s="48" t="s">
        <v>72</v>
      </c>
      <c r="S16" s="54" t="s">
        <v>1527</v>
      </c>
      <c r="T16" s="55" t="s">
        <v>33</v>
      </c>
      <c r="U16" s="55" t="s">
        <v>33</v>
      </c>
      <c r="V16" s="55" t="s">
        <v>1470</v>
      </c>
      <c r="W16" s="55" t="s">
        <v>111</v>
      </c>
      <c r="X16" s="55" t="s">
        <v>1528</v>
      </c>
      <c r="Y16" s="56" t="s">
        <v>1537</v>
      </c>
    </row>
  </sheetData>
  <conditionalFormatting sqref="D1">
    <cfRule type="containsText" dxfId="41" priority="1" operator="containsText" text="Dispara">
      <formula>NOT(ISERROR(SEARCH(("Dispara"),(D1))))</formula>
    </cfRule>
    <cfRule type="containsText" dxfId="40" priority="2" operator="containsText" text="Solar">
      <formula>NOT(ISERROR(SEARCH(("Solar"),(D1))))</formula>
    </cfRule>
    <cfRule type="containsText" dxfId="39" priority="3" operator="containsText" text="Defesa">
      <formula>NOT(ISERROR(SEARCH(("Defesa"),(D1))))</formula>
    </cfRule>
    <cfRule type="containsText" dxfId="38" priority="4" operator="containsText" text="Bomba">
      <formula>NOT(ISERROR(SEARCH(("Bomba"),(D1))))</formula>
    </cfRule>
    <cfRule type="containsText" dxfId="37" priority="5" operator="containsText" text="Gelo">
      <formula>NOT(ISERROR(SEARCH(("Gelo"),(D1))))</formula>
    </cfRule>
    <cfRule type="containsText" dxfId="36" priority="6" operator="containsText" text="Físico">
      <formula>NOT(ISERROR(SEARCH(("Físico"),(D1))))</formula>
    </cfRule>
    <cfRule type="containsText" dxfId="35" priority="7" operator="containsText" text="Veneno">
      <formula>NOT(ISERROR(SEARCH(("Veneno"),(D1))))</formula>
    </cfRule>
    <cfRule type="containsText" dxfId="34" priority="8" operator="containsText" text="Suporte">
      <formula>NOT(ISERROR(SEARCH(("Suporte"),(D1))))</formula>
    </cfRule>
    <cfRule type="containsText" dxfId="33" priority="9" operator="containsText" text="Mente">
      <formula>NOT(ISERROR(SEARCH(("Mente"),(D1))))</formula>
    </cfRule>
    <cfRule type="containsText" dxfId="32" priority="10" operator="containsText" text="Fogo">
      <formula>NOT(ISERROR(SEARCH(("Fogo"),(D1))))</formula>
    </cfRule>
    <cfRule type="containsText" dxfId="31" priority="11" operator="containsText" text="Perfurante">
      <formula>NOT(ISERROR(SEARCH(("Perfurante"),(D1))))</formula>
    </cfRule>
    <cfRule type="containsText" dxfId="30" priority="12" operator="containsText" text="Arremesso">
      <formula>NOT(ISERROR(SEARCH(("Arremesso"),(D1))))</formula>
    </cfRule>
    <cfRule type="containsText" dxfId="29" priority="13" operator="containsText" text="Elétrica">
      <formula>NOT(ISERROR(SEARCH(("Elétrica"),(D1))))</formula>
    </cfRule>
    <cfRule type="containsText" dxfId="28" priority="14" operator="containsText" text="Sombra">
      <formula>NOT(ISERROR(SEARCH(("Sombra"),(D1))))</formula>
    </cfRule>
  </conditionalFormatting>
  <dataValidations count="7">
    <dataValidation type="list" allowBlank="1" showErrorMessage="1" sqref="D2:D16" xr:uid="{00000000-0002-0000-0200-000000000000}">
      <formula1>"Dispara,Esclarecida,Endurecida,Bombarda,Arma,Refrea,Surra,Perfura,Aquecida,Resfriada,Fila,Envenenada,Encanta,Sombra"</formula1>
    </dataValidation>
    <dataValidation type="list" allowBlank="1" sqref="S2:S16" xr:uid="{00000000-0002-0000-0200-000001000000}">
      <formula1>"Origens,Adventure,Attack_zumburbia,Pre-3"</formula1>
    </dataValidation>
    <dataValidation type="list" allowBlank="1" sqref="W2:W16" xr:uid="{00000000-0002-0000-0200-000002000000}">
      <formula1>"Ranged,Sun,Tough,Vanguard,Special,Support"</formula1>
    </dataValidation>
    <dataValidation type="list" allowBlank="1" sqref="P2:P16" xr:uid="{00000000-0002-0000-0200-000003000000}">
      <formula1>"Common,Uncommon,Rare,Epic,Legendary,Mythical,Não especificado"</formula1>
    </dataValidation>
    <dataValidation type="custom" allowBlank="1" showDropDown="1" sqref="A2:A16 F2:H16 O2:O16" xr:uid="{00000000-0002-0000-0200-000004000000}">
      <formula1>AND(ISNUMBER(A2),(NOT(OR(NOT(ISERROR(DATEVALUE(A2))), AND(ISNUMBER(A2), LEFT(CELL("format", A2))="D")))))</formula1>
    </dataValidation>
    <dataValidation type="list" allowBlank="1" sqref="X2:X16" xr:uid="{00000000-0002-0000-0200-000005000000}">
      <formula1>"PvZ,PvZ 2,PvZ 2 Chinease,PvZ Heroes,PvZ GW,PvZ GW 2,PvZA,PvZ BfN,PvZ 3"</formula1>
    </dataValidation>
    <dataValidation type="list" allowBlank="1" showErrorMessage="1" sqref="R2:R16" xr:uid="{00000000-0002-0000-0200-000006000000}">
      <formula1>"Pea,Flower,Nut,Root,Leaf,Fruit,Bean,Berry,Vegetable,Murshroom,Cactus,Pepper,Wood"</formula1>
    </dataValidation>
  </dataValidations>
  <hyperlinks>
    <hyperlink ref="Y2" r:id="rId1" xr:uid="{00000000-0004-0000-0200-000000000000}"/>
    <hyperlink ref="Y3" r:id="rId2" xr:uid="{00000000-0004-0000-0200-000001000000}"/>
    <hyperlink ref="Y4" r:id="rId3" xr:uid="{00000000-0004-0000-0200-000002000000}"/>
    <hyperlink ref="Y5" r:id="rId4" xr:uid="{00000000-0004-0000-0200-000003000000}"/>
    <hyperlink ref="Y6" r:id="rId5" xr:uid="{00000000-0004-0000-0200-000004000000}"/>
    <hyperlink ref="Y7" r:id="rId6" xr:uid="{00000000-0004-0000-0200-000005000000}"/>
    <hyperlink ref="Y8" r:id="rId7" xr:uid="{00000000-0004-0000-0200-000006000000}"/>
    <hyperlink ref="Y9" r:id="rId8" xr:uid="{00000000-0004-0000-0200-000007000000}"/>
    <hyperlink ref="Y10" r:id="rId9" xr:uid="{00000000-0004-0000-0200-000008000000}"/>
    <hyperlink ref="Y11" r:id="rId10" xr:uid="{00000000-0004-0000-0200-000009000000}"/>
    <hyperlink ref="Y12" r:id="rId11" xr:uid="{00000000-0004-0000-0200-00000A000000}"/>
    <hyperlink ref="Y13" r:id="rId12" xr:uid="{00000000-0004-0000-0200-00000B000000}"/>
    <hyperlink ref="Y14" r:id="rId13" xr:uid="{00000000-0004-0000-0200-00000C000000}"/>
    <hyperlink ref="Y15" r:id="rId14" xr:uid="{00000000-0004-0000-0200-00000D000000}"/>
    <hyperlink ref="Y16" r:id="rId15" xr:uid="{00000000-0004-0000-0200-00000E000000}"/>
  </hyperlinks>
  <pageMargins left="0.511811024" right="0.511811024" top="0.78740157499999996" bottom="0.78740157499999996" header="0.31496062000000002" footer="0.31496062000000002"/>
  <tableParts count="1">
    <tablePart r:id="rId1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21"/>
  <sheetViews>
    <sheetView topLeftCell="A103" workbookViewId="0">
      <selection activeCell="H5" sqref="H5"/>
    </sheetView>
  </sheetViews>
  <sheetFormatPr defaultColWidth="12.5703125" defaultRowHeight="15.75" customHeight="1" x14ac:dyDescent="0.2"/>
  <cols>
    <col min="16" max="16" width="14.140625" customWidth="1"/>
    <col min="23" max="25" width="16" customWidth="1"/>
  </cols>
  <sheetData>
    <row r="1" spans="1:25" ht="25.5"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5" t="s">
        <v>24</v>
      </c>
    </row>
    <row r="2" spans="1:25" ht="27" customHeight="1" x14ac:dyDescent="0.2">
      <c r="A2" s="6">
        <v>1</v>
      </c>
      <c r="B2" s="7" t="s">
        <v>1538</v>
      </c>
      <c r="C2" s="7" t="s">
        <v>1539</v>
      </c>
      <c r="D2" s="8" t="s">
        <v>49</v>
      </c>
      <c r="E2" s="7" t="s">
        <v>1540</v>
      </c>
      <c r="F2" s="7">
        <v>50</v>
      </c>
      <c r="G2" s="7">
        <v>2000</v>
      </c>
      <c r="H2" s="7">
        <v>0</v>
      </c>
      <c r="I2" s="86">
        <v>10</v>
      </c>
      <c r="J2" s="7" t="s">
        <v>1541</v>
      </c>
      <c r="K2" s="7"/>
      <c r="L2" s="7"/>
      <c r="M2" s="9" t="b">
        <v>0</v>
      </c>
      <c r="N2" s="9" t="b">
        <v>0</v>
      </c>
      <c r="O2" s="7">
        <v>0</v>
      </c>
      <c r="P2" s="7" t="s">
        <v>30</v>
      </c>
      <c r="Q2" s="7"/>
      <c r="R2" s="8" t="s">
        <v>62</v>
      </c>
      <c r="S2" s="8" t="s">
        <v>1542</v>
      </c>
      <c r="T2" s="7" t="s">
        <v>33</v>
      </c>
      <c r="U2" s="7" t="s">
        <v>33</v>
      </c>
      <c r="V2" s="7" t="s">
        <v>1543</v>
      </c>
      <c r="W2" s="7" t="s">
        <v>54</v>
      </c>
      <c r="X2" s="7" t="s">
        <v>1544</v>
      </c>
      <c r="Y2" s="18" t="s">
        <v>1545</v>
      </c>
    </row>
    <row r="3" spans="1:25" ht="27" customHeight="1" x14ac:dyDescent="0.2">
      <c r="A3" s="11">
        <v>2</v>
      </c>
      <c r="B3" s="12" t="s">
        <v>1546</v>
      </c>
      <c r="C3" s="12" t="s">
        <v>1547</v>
      </c>
      <c r="D3" s="13" t="s">
        <v>135</v>
      </c>
      <c r="E3" s="12" t="s">
        <v>1548</v>
      </c>
      <c r="F3" s="12">
        <v>200</v>
      </c>
      <c r="G3" s="12">
        <v>300</v>
      </c>
      <c r="H3" s="12">
        <v>315</v>
      </c>
      <c r="I3" s="87">
        <v>5</v>
      </c>
      <c r="J3" s="12" t="s">
        <v>1549</v>
      </c>
      <c r="K3" s="12"/>
      <c r="L3" s="12" t="s">
        <v>1550</v>
      </c>
      <c r="M3" s="14" t="b">
        <v>0</v>
      </c>
      <c r="N3" s="14" t="b">
        <v>0</v>
      </c>
      <c r="O3" s="12">
        <v>0</v>
      </c>
      <c r="P3" s="12" t="s">
        <v>30</v>
      </c>
      <c r="Q3" s="12" t="s">
        <v>1551</v>
      </c>
      <c r="R3" s="13" t="s">
        <v>130</v>
      </c>
      <c r="S3" s="13" t="s">
        <v>1542</v>
      </c>
      <c r="T3" s="12" t="s">
        <v>33</v>
      </c>
      <c r="U3" s="12" t="s">
        <v>33</v>
      </c>
      <c r="V3" s="12" t="s">
        <v>1552</v>
      </c>
      <c r="W3" s="12" t="s">
        <v>111</v>
      </c>
      <c r="X3" s="12" t="s">
        <v>1544</v>
      </c>
      <c r="Y3" s="17" t="s">
        <v>1553</v>
      </c>
    </row>
    <row r="4" spans="1:25" ht="27" customHeight="1" x14ac:dyDescent="0.2">
      <c r="A4" s="6">
        <v>3</v>
      </c>
      <c r="B4" s="7" t="s">
        <v>1554</v>
      </c>
      <c r="C4" s="7" t="s">
        <v>1555</v>
      </c>
      <c r="D4" s="8" t="s">
        <v>49</v>
      </c>
      <c r="E4" s="7" t="s">
        <v>1556</v>
      </c>
      <c r="F4" s="7">
        <v>125</v>
      </c>
      <c r="G4" s="7">
        <v>300</v>
      </c>
      <c r="H4" s="7">
        <v>0</v>
      </c>
      <c r="I4" s="86">
        <v>5</v>
      </c>
      <c r="J4" s="7" t="s">
        <v>1557</v>
      </c>
      <c r="K4" s="7" t="s">
        <v>1558</v>
      </c>
      <c r="L4" s="7"/>
      <c r="M4" s="9" t="b">
        <v>0</v>
      </c>
      <c r="N4" s="9" t="b">
        <v>0</v>
      </c>
      <c r="O4" s="7">
        <v>0</v>
      </c>
      <c r="P4" s="7" t="s">
        <v>30</v>
      </c>
      <c r="Q4" s="7" t="s">
        <v>1178</v>
      </c>
      <c r="R4" s="8" t="s">
        <v>130</v>
      </c>
      <c r="S4" s="8" t="s">
        <v>1542</v>
      </c>
      <c r="T4" s="7" t="s">
        <v>33</v>
      </c>
      <c r="U4" s="7" t="s">
        <v>33</v>
      </c>
      <c r="V4" s="7" t="s">
        <v>1559</v>
      </c>
      <c r="W4" s="7" t="s">
        <v>360</v>
      </c>
      <c r="X4" s="7" t="s">
        <v>1544</v>
      </c>
      <c r="Y4" s="18" t="s">
        <v>1560</v>
      </c>
    </row>
    <row r="5" spans="1:25" ht="27" customHeight="1" x14ac:dyDescent="0.2">
      <c r="A5" s="11">
        <v>4</v>
      </c>
      <c r="B5" s="12" t="s">
        <v>1561</v>
      </c>
      <c r="C5" s="12" t="s">
        <v>1511</v>
      </c>
      <c r="D5" s="13" t="s">
        <v>105</v>
      </c>
      <c r="E5" s="12" t="s">
        <v>1562</v>
      </c>
      <c r="F5" s="12">
        <v>175</v>
      </c>
      <c r="G5" s="12">
        <v>300</v>
      </c>
      <c r="H5" s="12">
        <v>15</v>
      </c>
      <c r="I5" s="87">
        <v>5</v>
      </c>
      <c r="J5" s="12" t="s">
        <v>1563</v>
      </c>
      <c r="K5" s="12"/>
      <c r="L5" s="12"/>
      <c r="M5" s="14" t="b">
        <v>0</v>
      </c>
      <c r="N5" s="14" t="b">
        <v>0</v>
      </c>
      <c r="O5" s="12">
        <v>0</v>
      </c>
      <c r="P5" s="12" t="s">
        <v>30</v>
      </c>
      <c r="Q5" s="12" t="s">
        <v>226</v>
      </c>
      <c r="R5" s="13" t="s">
        <v>72</v>
      </c>
      <c r="S5" s="13" t="s">
        <v>1542</v>
      </c>
      <c r="T5" s="12" t="s">
        <v>33</v>
      </c>
      <c r="U5" s="12" t="s">
        <v>33</v>
      </c>
      <c r="V5" s="12" t="s">
        <v>1564</v>
      </c>
      <c r="W5" s="12" t="s">
        <v>111</v>
      </c>
      <c r="X5" s="12" t="s">
        <v>1544</v>
      </c>
      <c r="Y5" s="17" t="s">
        <v>1565</v>
      </c>
    </row>
    <row r="6" spans="1:25" ht="27" customHeight="1" x14ac:dyDescent="0.2">
      <c r="A6" s="6">
        <v>5</v>
      </c>
      <c r="B6" s="7" t="s">
        <v>1566</v>
      </c>
      <c r="C6" s="7" t="s">
        <v>1567</v>
      </c>
      <c r="D6" s="8" t="s">
        <v>78</v>
      </c>
      <c r="E6" s="7" t="s">
        <v>1568</v>
      </c>
      <c r="F6" s="7">
        <v>275</v>
      </c>
      <c r="G6" s="7">
        <v>300</v>
      </c>
      <c r="H6" s="7">
        <v>130</v>
      </c>
      <c r="I6" s="86">
        <v>7.5</v>
      </c>
      <c r="J6" s="7" t="s">
        <v>1569</v>
      </c>
      <c r="K6" s="7"/>
      <c r="L6" s="7"/>
      <c r="M6" s="9" t="b">
        <v>0</v>
      </c>
      <c r="N6" s="9" t="b">
        <v>0</v>
      </c>
      <c r="O6" s="7">
        <v>0</v>
      </c>
      <c r="P6" s="7" t="s">
        <v>180</v>
      </c>
      <c r="Q6" s="7"/>
      <c r="R6" s="8" t="s">
        <v>740</v>
      </c>
      <c r="S6" s="8" t="s">
        <v>1542</v>
      </c>
      <c r="T6" s="7" t="s">
        <v>33</v>
      </c>
      <c r="U6" s="7" t="s">
        <v>33</v>
      </c>
      <c r="V6" s="7" t="s">
        <v>1470</v>
      </c>
      <c r="W6" s="7" t="s">
        <v>35</v>
      </c>
      <c r="X6" s="7" t="s">
        <v>1544</v>
      </c>
      <c r="Y6" s="18" t="s">
        <v>1570</v>
      </c>
    </row>
    <row r="7" spans="1:25" ht="27" customHeight="1" x14ac:dyDescent="0.2">
      <c r="A7" s="11">
        <v>6</v>
      </c>
      <c r="B7" s="12" t="s">
        <v>1571</v>
      </c>
      <c r="C7" s="12" t="s">
        <v>1572</v>
      </c>
      <c r="D7" s="13" t="s">
        <v>356</v>
      </c>
      <c r="E7" s="12" t="s">
        <v>1573</v>
      </c>
      <c r="F7" s="12">
        <v>75</v>
      </c>
      <c r="G7" s="12">
        <v>300</v>
      </c>
      <c r="H7" s="12">
        <v>0</v>
      </c>
      <c r="I7" s="87">
        <v>10</v>
      </c>
      <c r="J7" s="12" t="s">
        <v>1468</v>
      </c>
      <c r="K7" s="12" t="s">
        <v>1558</v>
      </c>
      <c r="L7" s="12"/>
      <c r="M7" s="14" t="b">
        <v>1</v>
      </c>
      <c r="N7" s="14" t="b">
        <v>1</v>
      </c>
      <c r="O7" s="12">
        <v>0</v>
      </c>
      <c r="P7" s="12" t="s">
        <v>30</v>
      </c>
      <c r="Q7" s="12" t="s">
        <v>226</v>
      </c>
      <c r="R7" s="13" t="s">
        <v>158</v>
      </c>
      <c r="S7" s="13" t="s">
        <v>1542</v>
      </c>
      <c r="T7" s="12" t="s">
        <v>33</v>
      </c>
      <c r="U7" s="12" t="s">
        <v>33</v>
      </c>
      <c r="V7" s="12" t="s">
        <v>1470</v>
      </c>
      <c r="W7" s="12" t="s">
        <v>360</v>
      </c>
      <c r="X7" s="12" t="s">
        <v>1574</v>
      </c>
      <c r="Y7" s="17" t="s">
        <v>1575</v>
      </c>
    </row>
    <row r="8" spans="1:25" ht="27" customHeight="1" x14ac:dyDescent="0.2">
      <c r="A8" s="6">
        <v>7</v>
      </c>
      <c r="B8" s="7" t="s">
        <v>1576</v>
      </c>
      <c r="C8" s="7" t="s">
        <v>1577</v>
      </c>
      <c r="D8" s="8" t="s">
        <v>356</v>
      </c>
      <c r="E8" s="7" t="s">
        <v>1578</v>
      </c>
      <c r="F8" s="7">
        <v>25</v>
      </c>
      <c r="G8" s="7">
        <v>300</v>
      </c>
      <c r="H8" s="7">
        <v>0</v>
      </c>
      <c r="I8" s="86">
        <v>20</v>
      </c>
      <c r="J8" s="7" t="s">
        <v>1579</v>
      </c>
      <c r="K8" s="7"/>
      <c r="L8" s="7"/>
      <c r="M8" s="9" t="b">
        <v>0</v>
      </c>
      <c r="N8" s="9" t="b">
        <v>0</v>
      </c>
      <c r="O8" s="7">
        <v>0</v>
      </c>
      <c r="P8" s="7" t="s">
        <v>30</v>
      </c>
      <c r="Q8" s="7" t="s">
        <v>226</v>
      </c>
      <c r="R8" s="8" t="s">
        <v>740</v>
      </c>
      <c r="S8" s="8" t="s">
        <v>1542</v>
      </c>
      <c r="T8" s="7" t="s">
        <v>33</v>
      </c>
      <c r="U8" s="7" t="s">
        <v>33</v>
      </c>
      <c r="V8" s="7" t="s">
        <v>1470</v>
      </c>
      <c r="W8" s="7" t="s">
        <v>11</v>
      </c>
      <c r="X8" s="7" t="s">
        <v>1580</v>
      </c>
      <c r="Y8" s="18" t="s">
        <v>1581</v>
      </c>
    </row>
    <row r="9" spans="1:25" ht="27" customHeight="1" x14ac:dyDescent="0.2">
      <c r="A9" s="11">
        <v>8</v>
      </c>
      <c r="B9" s="12" t="s">
        <v>1582</v>
      </c>
      <c r="C9" s="12" t="s">
        <v>1583</v>
      </c>
      <c r="D9" s="13" t="s">
        <v>199</v>
      </c>
      <c r="E9" s="12" t="s">
        <v>1584</v>
      </c>
      <c r="F9" s="12">
        <v>125</v>
      </c>
      <c r="G9" s="12">
        <v>300</v>
      </c>
      <c r="H9" s="12">
        <v>50</v>
      </c>
      <c r="I9" s="87">
        <v>5</v>
      </c>
      <c r="J9" s="12" t="s">
        <v>1585</v>
      </c>
      <c r="K9" s="12"/>
      <c r="L9" s="12"/>
      <c r="M9" s="14" t="b">
        <v>0</v>
      </c>
      <c r="N9" s="14" t="b">
        <v>0</v>
      </c>
      <c r="O9" s="12">
        <v>0</v>
      </c>
      <c r="P9" s="12" t="s">
        <v>666</v>
      </c>
      <c r="Q9" s="12"/>
      <c r="R9" s="13" t="s">
        <v>130</v>
      </c>
      <c r="S9" s="13" t="s">
        <v>1542</v>
      </c>
      <c r="T9" s="12" t="s">
        <v>33</v>
      </c>
      <c r="U9" s="12" t="s">
        <v>33</v>
      </c>
      <c r="V9" s="12" t="s">
        <v>1586</v>
      </c>
      <c r="W9" s="12" t="s">
        <v>35</v>
      </c>
      <c r="X9" s="12" t="s">
        <v>1544</v>
      </c>
      <c r="Y9" s="17" t="s">
        <v>1587</v>
      </c>
    </row>
    <row r="10" spans="1:25" ht="27" customHeight="1" x14ac:dyDescent="0.2">
      <c r="A10" s="6">
        <v>9</v>
      </c>
      <c r="B10" s="7" t="s">
        <v>1588</v>
      </c>
      <c r="C10" s="7" t="s">
        <v>1589</v>
      </c>
      <c r="D10" s="8" t="s">
        <v>68</v>
      </c>
      <c r="E10" s="7" t="s">
        <v>1590</v>
      </c>
      <c r="F10" s="7">
        <v>200</v>
      </c>
      <c r="G10" s="7">
        <v>300</v>
      </c>
      <c r="H10" s="7">
        <v>120</v>
      </c>
      <c r="I10" s="86">
        <v>5</v>
      </c>
      <c r="J10" s="7" t="s">
        <v>1591</v>
      </c>
      <c r="K10" s="7"/>
      <c r="L10" s="7"/>
      <c r="M10" s="9" t="b">
        <v>0</v>
      </c>
      <c r="N10" s="9" t="b">
        <v>0</v>
      </c>
      <c r="O10" s="7">
        <v>0</v>
      </c>
      <c r="P10" s="7" t="s">
        <v>180</v>
      </c>
      <c r="Q10" s="7" t="s">
        <v>476</v>
      </c>
      <c r="R10" s="8" t="s">
        <v>72</v>
      </c>
      <c r="S10" s="8" t="s">
        <v>1542</v>
      </c>
      <c r="T10" s="7" t="s">
        <v>33</v>
      </c>
      <c r="U10" s="7" t="s">
        <v>33</v>
      </c>
      <c r="V10" s="7" t="s">
        <v>1592</v>
      </c>
      <c r="W10" s="7" t="s">
        <v>35</v>
      </c>
      <c r="X10" s="7" t="s">
        <v>1544</v>
      </c>
      <c r="Y10" s="18" t="s">
        <v>1593</v>
      </c>
    </row>
    <row r="11" spans="1:25" ht="27" customHeight="1" x14ac:dyDescent="0.2">
      <c r="A11" s="11">
        <v>10</v>
      </c>
      <c r="B11" s="12" t="s">
        <v>1594</v>
      </c>
      <c r="C11" s="12" t="s">
        <v>1595</v>
      </c>
      <c r="D11" s="13" t="s">
        <v>59</v>
      </c>
      <c r="E11" s="12" t="s">
        <v>1596</v>
      </c>
      <c r="F11" s="12">
        <v>350</v>
      </c>
      <c r="G11" s="12">
        <v>300</v>
      </c>
      <c r="H11" s="12">
        <v>150</v>
      </c>
      <c r="I11" s="86">
        <v>7.5</v>
      </c>
      <c r="J11" s="12" t="s">
        <v>1597</v>
      </c>
      <c r="K11" s="12"/>
      <c r="L11" s="12" t="s">
        <v>1598</v>
      </c>
      <c r="M11" s="14" t="b">
        <v>0</v>
      </c>
      <c r="N11" s="14" t="b">
        <v>0</v>
      </c>
      <c r="O11" s="12">
        <v>0</v>
      </c>
      <c r="P11" s="12" t="s">
        <v>122</v>
      </c>
      <c r="Q11" s="12" t="s">
        <v>226</v>
      </c>
      <c r="R11" s="13" t="s">
        <v>43</v>
      </c>
      <c r="S11" s="13" t="s">
        <v>1542</v>
      </c>
      <c r="T11" s="12" t="s">
        <v>33</v>
      </c>
      <c r="U11" s="12" t="s">
        <v>33</v>
      </c>
      <c r="V11" s="12" t="s">
        <v>1599</v>
      </c>
      <c r="W11" s="12" t="s">
        <v>35</v>
      </c>
      <c r="X11" s="12" t="s">
        <v>1544</v>
      </c>
      <c r="Y11" s="17" t="s">
        <v>1600</v>
      </c>
    </row>
    <row r="12" spans="1:25" ht="27" customHeight="1" x14ac:dyDescent="0.2">
      <c r="A12" s="6">
        <v>11</v>
      </c>
      <c r="B12" s="7" t="s">
        <v>1601</v>
      </c>
      <c r="C12" s="7" t="s">
        <v>1602</v>
      </c>
      <c r="D12" s="8" t="s">
        <v>27</v>
      </c>
      <c r="E12" s="7" t="s">
        <v>1603</v>
      </c>
      <c r="F12" s="7">
        <v>300</v>
      </c>
      <c r="G12" s="7">
        <v>300</v>
      </c>
      <c r="H12" s="7">
        <v>70</v>
      </c>
      <c r="I12" s="86">
        <v>7.5</v>
      </c>
      <c r="J12" s="7" t="s">
        <v>1604</v>
      </c>
      <c r="K12" s="7"/>
      <c r="L12" s="7"/>
      <c r="M12" s="9" t="b">
        <v>0</v>
      </c>
      <c r="N12" s="9" t="b">
        <v>0</v>
      </c>
      <c r="O12" s="7">
        <v>0</v>
      </c>
      <c r="P12" s="7" t="s">
        <v>122</v>
      </c>
      <c r="Q12" s="7" t="s">
        <v>1605</v>
      </c>
      <c r="R12" s="8" t="s">
        <v>52</v>
      </c>
      <c r="S12" s="8" t="s">
        <v>1542</v>
      </c>
      <c r="T12" s="7" t="s">
        <v>33</v>
      </c>
      <c r="U12" s="7" t="s">
        <v>33</v>
      </c>
      <c r="V12" s="7" t="s">
        <v>1606</v>
      </c>
      <c r="W12" s="7" t="s">
        <v>35</v>
      </c>
      <c r="X12" s="7" t="s">
        <v>1544</v>
      </c>
      <c r="Y12" s="18" t="s">
        <v>1607</v>
      </c>
    </row>
    <row r="13" spans="1:25" ht="27" customHeight="1" x14ac:dyDescent="0.2">
      <c r="A13" s="11">
        <v>12</v>
      </c>
      <c r="B13" s="12" t="s">
        <v>1608</v>
      </c>
      <c r="C13" s="12" t="s">
        <v>1609</v>
      </c>
      <c r="D13" s="13" t="s">
        <v>95</v>
      </c>
      <c r="E13" s="12" t="s">
        <v>1610</v>
      </c>
      <c r="F13" s="12">
        <v>75</v>
      </c>
      <c r="G13" s="12">
        <v>1</v>
      </c>
      <c r="H13" s="12">
        <v>0</v>
      </c>
      <c r="I13" s="87">
        <v>30</v>
      </c>
      <c r="J13" s="12" t="s">
        <v>1468</v>
      </c>
      <c r="K13" s="12"/>
      <c r="L13" s="12" t="s">
        <v>1611</v>
      </c>
      <c r="M13" s="14" t="b">
        <v>1</v>
      </c>
      <c r="N13" s="14" t="b">
        <v>1</v>
      </c>
      <c r="O13" s="12">
        <v>0</v>
      </c>
      <c r="P13" s="12" t="s">
        <v>122</v>
      </c>
      <c r="Q13" s="12" t="s">
        <v>1612</v>
      </c>
      <c r="R13" s="13" t="s">
        <v>130</v>
      </c>
      <c r="S13" s="13" t="s">
        <v>1542</v>
      </c>
      <c r="T13" s="12" t="s">
        <v>33</v>
      </c>
      <c r="U13" s="12" t="s">
        <v>33</v>
      </c>
      <c r="V13" s="12" t="s">
        <v>1613</v>
      </c>
      <c r="W13" s="12" t="s">
        <v>11</v>
      </c>
      <c r="X13" s="12" t="s">
        <v>1544</v>
      </c>
      <c r="Y13" s="17" t="s">
        <v>1614</v>
      </c>
    </row>
    <row r="14" spans="1:25" ht="27" customHeight="1" x14ac:dyDescent="0.2">
      <c r="A14" s="6">
        <v>13</v>
      </c>
      <c r="B14" s="7" t="s">
        <v>1615</v>
      </c>
      <c r="C14" s="7" t="s">
        <v>1485</v>
      </c>
      <c r="D14" s="8" t="s">
        <v>27</v>
      </c>
      <c r="E14" s="7" t="s">
        <v>1616</v>
      </c>
      <c r="F14" s="7">
        <v>125</v>
      </c>
      <c r="G14" s="7">
        <v>300</v>
      </c>
      <c r="H14" s="7">
        <v>70</v>
      </c>
      <c r="I14" s="86">
        <v>5</v>
      </c>
      <c r="J14" s="7" t="s">
        <v>1617</v>
      </c>
      <c r="K14" s="7"/>
      <c r="L14" s="7" t="s">
        <v>1618</v>
      </c>
      <c r="M14" s="9" t="b">
        <v>0</v>
      </c>
      <c r="N14" s="9" t="b">
        <v>0</v>
      </c>
      <c r="O14" s="7">
        <v>0</v>
      </c>
      <c r="P14" s="7" t="s">
        <v>180</v>
      </c>
      <c r="Q14" s="7" t="s">
        <v>277</v>
      </c>
      <c r="R14" s="8" t="s">
        <v>270</v>
      </c>
      <c r="S14" s="8" t="s">
        <v>1542</v>
      </c>
      <c r="T14" s="7" t="s">
        <v>33</v>
      </c>
      <c r="U14" s="7" t="s">
        <v>33</v>
      </c>
      <c r="V14" s="7" t="s">
        <v>1470</v>
      </c>
      <c r="W14" s="7" t="s">
        <v>35</v>
      </c>
      <c r="X14" s="7" t="s">
        <v>1544</v>
      </c>
      <c r="Y14" s="18" t="s">
        <v>1619</v>
      </c>
    </row>
    <row r="15" spans="1:25" ht="27" customHeight="1" x14ac:dyDescent="0.2">
      <c r="A15" s="11">
        <v>14</v>
      </c>
      <c r="B15" s="12" t="s">
        <v>1620</v>
      </c>
      <c r="C15" s="12" t="s">
        <v>1621</v>
      </c>
      <c r="D15" s="13" t="s">
        <v>95</v>
      </c>
      <c r="E15" s="12" t="s">
        <v>1622</v>
      </c>
      <c r="F15" s="12">
        <v>25</v>
      </c>
      <c r="G15" s="12">
        <v>300</v>
      </c>
      <c r="H15" s="12">
        <v>0</v>
      </c>
      <c r="I15" s="87">
        <v>20</v>
      </c>
      <c r="J15" s="12" t="s">
        <v>1623</v>
      </c>
      <c r="K15" s="12"/>
      <c r="L15" s="12"/>
      <c r="M15" s="14" t="b">
        <v>1</v>
      </c>
      <c r="N15" s="14" t="b">
        <v>0</v>
      </c>
      <c r="O15" s="12">
        <v>0</v>
      </c>
      <c r="P15" s="12" t="s">
        <v>122</v>
      </c>
      <c r="Q15" s="12" t="s">
        <v>277</v>
      </c>
      <c r="R15" s="13" t="s">
        <v>270</v>
      </c>
      <c r="S15" s="13" t="s">
        <v>1542</v>
      </c>
      <c r="T15" s="12" t="s">
        <v>33</v>
      </c>
      <c r="U15" s="12" t="s">
        <v>33</v>
      </c>
      <c r="V15" s="12" t="s">
        <v>1470</v>
      </c>
      <c r="W15" s="12" t="s">
        <v>11</v>
      </c>
      <c r="X15" s="12" t="s">
        <v>1544</v>
      </c>
      <c r="Y15" s="17" t="s">
        <v>1624</v>
      </c>
    </row>
    <row r="16" spans="1:25" ht="27" customHeight="1" x14ac:dyDescent="0.2">
      <c r="A16" s="6">
        <v>15</v>
      </c>
      <c r="B16" s="7" t="s">
        <v>1625</v>
      </c>
      <c r="C16" s="7" t="s">
        <v>1626</v>
      </c>
      <c r="D16" s="8" t="s">
        <v>27</v>
      </c>
      <c r="E16" s="7" t="s">
        <v>1627</v>
      </c>
      <c r="F16" s="7">
        <v>450</v>
      </c>
      <c r="G16" s="7">
        <v>300</v>
      </c>
      <c r="H16" s="7">
        <v>50</v>
      </c>
      <c r="I16" s="86">
        <v>10</v>
      </c>
      <c r="J16" s="7" t="s">
        <v>1628</v>
      </c>
      <c r="K16" s="7"/>
      <c r="L16" s="7" t="s">
        <v>1629</v>
      </c>
      <c r="M16" s="9" t="b">
        <v>0</v>
      </c>
      <c r="N16" s="9" t="b">
        <v>0</v>
      </c>
      <c r="O16" s="7">
        <v>0</v>
      </c>
      <c r="P16" s="7" t="s">
        <v>268</v>
      </c>
      <c r="Q16" s="7" t="s">
        <v>277</v>
      </c>
      <c r="R16" s="8" t="s">
        <v>31</v>
      </c>
      <c r="S16" s="8" t="s">
        <v>1542</v>
      </c>
      <c r="T16" s="7" t="s">
        <v>33</v>
      </c>
      <c r="U16" s="7" t="s">
        <v>33</v>
      </c>
      <c r="V16" s="7" t="s">
        <v>1470</v>
      </c>
      <c r="W16" s="7" t="s">
        <v>35</v>
      </c>
      <c r="X16" s="7" t="s">
        <v>1544</v>
      </c>
      <c r="Y16" s="18" t="s">
        <v>1630</v>
      </c>
    </row>
    <row r="17" spans="1:25" ht="27" customHeight="1" x14ac:dyDescent="0.2">
      <c r="A17" s="11">
        <v>16</v>
      </c>
      <c r="B17" s="12" t="s">
        <v>1631</v>
      </c>
      <c r="C17" s="12" t="s">
        <v>1632</v>
      </c>
      <c r="D17" s="13" t="s">
        <v>95</v>
      </c>
      <c r="E17" s="12" t="s">
        <v>1633</v>
      </c>
      <c r="F17" s="12">
        <v>25</v>
      </c>
      <c r="G17" s="12">
        <v>1</v>
      </c>
      <c r="H17" s="12">
        <v>0</v>
      </c>
      <c r="I17" s="87">
        <v>20</v>
      </c>
      <c r="J17" s="12" t="s">
        <v>1634</v>
      </c>
      <c r="K17" s="12"/>
      <c r="L17" s="12" t="s">
        <v>1635</v>
      </c>
      <c r="M17" s="14" t="b">
        <v>1</v>
      </c>
      <c r="N17" s="14" t="b">
        <v>0</v>
      </c>
      <c r="O17" s="12">
        <v>0</v>
      </c>
      <c r="P17" s="12" t="s">
        <v>30</v>
      </c>
      <c r="Q17" s="12" t="s">
        <v>1636</v>
      </c>
      <c r="R17" s="13" t="s">
        <v>187</v>
      </c>
      <c r="S17" s="13" t="s">
        <v>1542</v>
      </c>
      <c r="T17" s="12" t="s">
        <v>33</v>
      </c>
      <c r="U17" s="12" t="s">
        <v>33</v>
      </c>
      <c r="V17" s="12" t="s">
        <v>1470</v>
      </c>
      <c r="W17" s="12" t="s">
        <v>11</v>
      </c>
      <c r="X17" s="12" t="s">
        <v>1544</v>
      </c>
      <c r="Y17" s="17" t="s">
        <v>1637</v>
      </c>
    </row>
    <row r="18" spans="1:25" ht="27" customHeight="1" x14ac:dyDescent="0.2">
      <c r="A18" s="6">
        <v>17</v>
      </c>
      <c r="B18" s="7" t="s">
        <v>1638</v>
      </c>
      <c r="C18" s="7" t="s">
        <v>1639</v>
      </c>
      <c r="D18" s="8" t="s">
        <v>216</v>
      </c>
      <c r="E18" s="7" t="s">
        <v>1640</v>
      </c>
      <c r="F18" s="7">
        <v>150</v>
      </c>
      <c r="G18" s="7">
        <v>300</v>
      </c>
      <c r="H18" s="7">
        <v>30</v>
      </c>
      <c r="I18" s="86">
        <v>5</v>
      </c>
      <c r="J18" s="7" t="s">
        <v>1641</v>
      </c>
      <c r="K18" s="7"/>
      <c r="L18" s="7" t="s">
        <v>1642</v>
      </c>
      <c r="M18" s="9" t="b">
        <v>0</v>
      </c>
      <c r="N18" s="9" t="b">
        <v>0</v>
      </c>
      <c r="O18" s="7">
        <v>0</v>
      </c>
      <c r="P18" s="7" t="s">
        <v>122</v>
      </c>
      <c r="Q18" s="7" t="s">
        <v>226</v>
      </c>
      <c r="R18" s="8" t="s">
        <v>43</v>
      </c>
      <c r="S18" s="8" t="s">
        <v>1542</v>
      </c>
      <c r="T18" s="7" t="s">
        <v>33</v>
      </c>
      <c r="U18" s="7" t="s">
        <v>33</v>
      </c>
      <c r="V18" s="7" t="s">
        <v>1470</v>
      </c>
      <c r="W18" s="7" t="s">
        <v>35</v>
      </c>
      <c r="X18" s="7" t="s">
        <v>1544</v>
      </c>
      <c r="Y18" s="18" t="s">
        <v>1643</v>
      </c>
    </row>
    <row r="19" spans="1:25" ht="27" customHeight="1" x14ac:dyDescent="0.2">
      <c r="A19" s="11">
        <v>18</v>
      </c>
      <c r="B19" s="12" t="s">
        <v>1644</v>
      </c>
      <c r="C19" s="12" t="s">
        <v>1645</v>
      </c>
      <c r="D19" s="13" t="s">
        <v>49</v>
      </c>
      <c r="E19" s="12" t="s">
        <v>1646</v>
      </c>
      <c r="F19" s="12">
        <v>75</v>
      </c>
      <c r="G19" s="12">
        <v>4000</v>
      </c>
      <c r="H19" s="12">
        <v>0</v>
      </c>
      <c r="I19" s="87">
        <v>20</v>
      </c>
      <c r="J19" s="12" t="s">
        <v>1647</v>
      </c>
      <c r="K19" s="12"/>
      <c r="L19" s="12" t="s">
        <v>1648</v>
      </c>
      <c r="M19" s="14" t="b">
        <v>0</v>
      </c>
      <c r="N19" s="14" t="b">
        <v>0</v>
      </c>
      <c r="O19" s="12">
        <v>0</v>
      </c>
      <c r="P19" s="12" t="s">
        <v>122</v>
      </c>
      <c r="Q19" s="12" t="s">
        <v>1612</v>
      </c>
      <c r="R19" s="13" t="s">
        <v>130</v>
      </c>
      <c r="S19" s="13" t="s">
        <v>1542</v>
      </c>
      <c r="T19" s="12" t="s">
        <v>33</v>
      </c>
      <c r="U19" s="12" t="s">
        <v>33</v>
      </c>
      <c r="V19" s="12" t="s">
        <v>1470</v>
      </c>
      <c r="W19" s="12" t="s">
        <v>54</v>
      </c>
      <c r="X19" s="12" t="s">
        <v>1544</v>
      </c>
      <c r="Y19" s="17" t="s">
        <v>1649</v>
      </c>
    </row>
    <row r="20" spans="1:25" ht="27" customHeight="1" x14ac:dyDescent="0.2">
      <c r="A20" s="6">
        <v>19</v>
      </c>
      <c r="B20" s="7" t="s">
        <v>1650</v>
      </c>
      <c r="C20" s="7" t="s">
        <v>1651</v>
      </c>
      <c r="D20" s="8" t="s">
        <v>95</v>
      </c>
      <c r="E20" s="7" t="s">
        <v>1652</v>
      </c>
      <c r="F20" s="7">
        <v>75</v>
      </c>
      <c r="G20" s="7">
        <v>1</v>
      </c>
      <c r="H20" s="7">
        <v>5</v>
      </c>
      <c r="I20" s="86">
        <v>20</v>
      </c>
      <c r="J20" s="7" t="s">
        <v>1468</v>
      </c>
      <c r="K20" s="7"/>
      <c r="L20" s="7" t="s">
        <v>1653</v>
      </c>
      <c r="M20" s="9" t="b">
        <v>1</v>
      </c>
      <c r="N20" s="9" t="b">
        <v>1</v>
      </c>
      <c r="O20" s="7">
        <v>0</v>
      </c>
      <c r="P20" s="7" t="s">
        <v>122</v>
      </c>
      <c r="Q20" s="7"/>
      <c r="R20" s="8" t="s">
        <v>130</v>
      </c>
      <c r="S20" s="8" t="s">
        <v>1542</v>
      </c>
      <c r="T20" s="7" t="s">
        <v>33</v>
      </c>
      <c r="U20" s="7" t="s">
        <v>33</v>
      </c>
      <c r="V20" s="7" t="s">
        <v>1654</v>
      </c>
      <c r="W20" s="7" t="s">
        <v>11</v>
      </c>
      <c r="X20" s="7" t="s">
        <v>1544</v>
      </c>
      <c r="Y20" s="18" t="s">
        <v>1655</v>
      </c>
    </row>
    <row r="21" spans="1:25" ht="27" customHeight="1" x14ac:dyDescent="0.2">
      <c r="A21" s="11">
        <v>20</v>
      </c>
      <c r="B21" s="12" t="s">
        <v>1656</v>
      </c>
      <c r="C21" s="12" t="s">
        <v>1657</v>
      </c>
      <c r="D21" s="13" t="s">
        <v>27</v>
      </c>
      <c r="E21" s="12" t="s">
        <v>1658</v>
      </c>
      <c r="F21" s="12">
        <v>375</v>
      </c>
      <c r="G21" s="12">
        <v>300</v>
      </c>
      <c r="H21" s="12">
        <v>200</v>
      </c>
      <c r="I21" s="86">
        <v>7.5</v>
      </c>
      <c r="J21" s="12" t="s">
        <v>1659</v>
      </c>
      <c r="K21" s="12"/>
      <c r="L21" s="12" t="s">
        <v>1660</v>
      </c>
      <c r="M21" s="14" t="b">
        <v>0</v>
      </c>
      <c r="N21" s="14" t="b">
        <v>0</v>
      </c>
      <c r="O21" s="12">
        <v>0</v>
      </c>
      <c r="P21" s="12" t="s">
        <v>666</v>
      </c>
      <c r="Q21" s="12" t="s">
        <v>1661</v>
      </c>
      <c r="R21" s="13" t="s">
        <v>43</v>
      </c>
      <c r="S21" s="13" t="s">
        <v>1542</v>
      </c>
      <c r="T21" s="12" t="s">
        <v>33</v>
      </c>
      <c r="U21" s="12" t="s">
        <v>33</v>
      </c>
      <c r="V21" s="12" t="s">
        <v>1662</v>
      </c>
      <c r="W21" s="12" t="s">
        <v>35</v>
      </c>
      <c r="X21" s="12" t="s">
        <v>1663</v>
      </c>
      <c r="Y21" s="17" t="s">
        <v>1664</v>
      </c>
    </row>
    <row r="22" spans="1:25" ht="27" customHeight="1" x14ac:dyDescent="0.2">
      <c r="A22" s="6">
        <v>21</v>
      </c>
      <c r="B22" s="7" t="s">
        <v>1665</v>
      </c>
      <c r="C22" s="7" t="s">
        <v>1666</v>
      </c>
      <c r="D22" s="8" t="s">
        <v>199</v>
      </c>
      <c r="E22" s="7" t="s">
        <v>1667</v>
      </c>
      <c r="F22" s="7">
        <v>450</v>
      </c>
      <c r="G22" s="7">
        <v>300</v>
      </c>
      <c r="H22" s="7">
        <v>200</v>
      </c>
      <c r="I22" s="86">
        <v>5</v>
      </c>
      <c r="J22" s="7" t="s">
        <v>1668</v>
      </c>
      <c r="K22" s="7"/>
      <c r="L22" s="7" t="s">
        <v>1669</v>
      </c>
      <c r="M22" s="9" t="b">
        <v>0</v>
      </c>
      <c r="N22" s="9" t="b">
        <v>0</v>
      </c>
      <c r="O22" s="7">
        <v>0</v>
      </c>
      <c r="P22" s="7" t="s">
        <v>666</v>
      </c>
      <c r="Q22" s="7" t="s">
        <v>1670</v>
      </c>
      <c r="R22" s="8" t="s">
        <v>43</v>
      </c>
      <c r="S22" s="8" t="s">
        <v>1542</v>
      </c>
      <c r="T22" s="7" t="s">
        <v>33</v>
      </c>
      <c r="U22" s="7" t="s">
        <v>33</v>
      </c>
      <c r="V22" s="7" t="s">
        <v>1671</v>
      </c>
      <c r="W22" s="7" t="s">
        <v>35</v>
      </c>
      <c r="X22" s="7" t="s">
        <v>1544</v>
      </c>
      <c r="Y22" s="18" t="s">
        <v>1672</v>
      </c>
    </row>
    <row r="23" spans="1:25" ht="27" customHeight="1" x14ac:dyDescent="0.2">
      <c r="A23" s="11">
        <v>22</v>
      </c>
      <c r="B23" s="12" t="s">
        <v>1673</v>
      </c>
      <c r="C23" s="12" t="s">
        <v>1674</v>
      </c>
      <c r="D23" s="13" t="s">
        <v>105</v>
      </c>
      <c r="E23" s="12" t="s">
        <v>1675</v>
      </c>
      <c r="F23" s="12">
        <v>75</v>
      </c>
      <c r="G23" s="12">
        <v>1500</v>
      </c>
      <c r="H23" s="12">
        <v>100</v>
      </c>
      <c r="I23" s="87">
        <v>20</v>
      </c>
      <c r="J23" s="12" t="s">
        <v>1676</v>
      </c>
      <c r="K23" s="12" t="s">
        <v>1677</v>
      </c>
      <c r="L23" s="12" t="s">
        <v>1678</v>
      </c>
      <c r="M23" s="14" t="b">
        <v>0</v>
      </c>
      <c r="N23" s="14" t="b">
        <v>0</v>
      </c>
      <c r="O23" s="12">
        <v>0</v>
      </c>
      <c r="P23" s="12" t="s">
        <v>268</v>
      </c>
      <c r="Q23" s="12" t="s">
        <v>1679</v>
      </c>
      <c r="R23" s="13" t="s">
        <v>72</v>
      </c>
      <c r="S23" s="13" t="s">
        <v>1542</v>
      </c>
      <c r="T23" s="12" t="s">
        <v>33</v>
      </c>
      <c r="U23" s="12" t="s">
        <v>33</v>
      </c>
      <c r="V23" s="12" t="s">
        <v>1680</v>
      </c>
      <c r="W23" s="12" t="s">
        <v>111</v>
      </c>
      <c r="X23" s="12" t="s">
        <v>1544</v>
      </c>
      <c r="Y23" s="17" t="s">
        <v>1681</v>
      </c>
    </row>
    <row r="24" spans="1:25" ht="27" customHeight="1" x14ac:dyDescent="0.2">
      <c r="A24" s="6">
        <v>23</v>
      </c>
      <c r="B24" s="7" t="s">
        <v>1682</v>
      </c>
      <c r="C24" s="7" t="s">
        <v>1683</v>
      </c>
      <c r="D24" s="8" t="s">
        <v>95</v>
      </c>
      <c r="E24" s="7" t="s">
        <v>1684</v>
      </c>
      <c r="F24" s="7">
        <v>0</v>
      </c>
      <c r="G24" s="7">
        <v>1500</v>
      </c>
      <c r="H24" s="7">
        <v>0</v>
      </c>
      <c r="I24" s="86">
        <v>20</v>
      </c>
      <c r="J24" s="7" t="s">
        <v>1468</v>
      </c>
      <c r="K24" s="7"/>
      <c r="L24" s="7" t="s">
        <v>1685</v>
      </c>
      <c r="M24" s="9" t="b">
        <v>1</v>
      </c>
      <c r="N24" s="9" t="b">
        <v>0</v>
      </c>
      <c r="O24" s="7">
        <v>0</v>
      </c>
      <c r="P24" s="7" t="s">
        <v>30</v>
      </c>
      <c r="Q24" s="7"/>
      <c r="R24" s="8" t="s">
        <v>62</v>
      </c>
      <c r="S24" s="8" t="s">
        <v>1542</v>
      </c>
      <c r="T24" s="7" t="s">
        <v>33</v>
      </c>
      <c r="U24" s="7" t="s">
        <v>33</v>
      </c>
      <c r="V24" s="7" t="s">
        <v>1470</v>
      </c>
      <c r="W24" s="7" t="s">
        <v>11</v>
      </c>
      <c r="X24" s="7" t="s">
        <v>1544</v>
      </c>
      <c r="Y24" s="18" t="s">
        <v>1686</v>
      </c>
    </row>
    <row r="25" spans="1:25" ht="27" customHeight="1" x14ac:dyDescent="0.2">
      <c r="A25" s="11">
        <v>24</v>
      </c>
      <c r="B25" s="12" t="s">
        <v>1687</v>
      </c>
      <c r="C25" s="12" t="s">
        <v>1688</v>
      </c>
      <c r="D25" s="13" t="s">
        <v>105</v>
      </c>
      <c r="E25" s="12" t="s">
        <v>1689</v>
      </c>
      <c r="F25" s="12">
        <v>175</v>
      </c>
      <c r="G25" s="12">
        <v>300</v>
      </c>
      <c r="H25" s="12">
        <v>25</v>
      </c>
      <c r="I25" s="87">
        <v>5</v>
      </c>
      <c r="J25" s="12" t="s">
        <v>1690</v>
      </c>
      <c r="K25" s="12" t="s">
        <v>1691</v>
      </c>
      <c r="L25" s="12"/>
      <c r="M25" s="14" t="b">
        <v>0</v>
      </c>
      <c r="N25" s="14" t="b">
        <v>0</v>
      </c>
      <c r="O25" s="12">
        <v>0</v>
      </c>
      <c r="P25" s="12" t="s">
        <v>666</v>
      </c>
      <c r="Q25" s="12" t="s">
        <v>226</v>
      </c>
      <c r="R25" s="13" t="s">
        <v>72</v>
      </c>
      <c r="S25" s="13" t="s">
        <v>1542</v>
      </c>
      <c r="T25" s="12" t="s">
        <v>33</v>
      </c>
      <c r="U25" s="12" t="s">
        <v>33</v>
      </c>
      <c r="V25" s="12" t="s">
        <v>1692</v>
      </c>
      <c r="W25" s="12" t="s">
        <v>111</v>
      </c>
      <c r="X25" s="12" t="s">
        <v>1544</v>
      </c>
      <c r="Y25" s="17" t="s">
        <v>1693</v>
      </c>
    </row>
    <row r="26" spans="1:25" ht="27" customHeight="1" x14ac:dyDescent="0.2">
      <c r="A26" s="6">
        <v>25</v>
      </c>
      <c r="B26" s="7" t="s">
        <v>1694</v>
      </c>
      <c r="C26" s="7" t="s">
        <v>1695</v>
      </c>
      <c r="D26" s="8" t="s">
        <v>95</v>
      </c>
      <c r="E26" s="7" t="s">
        <v>1696</v>
      </c>
      <c r="F26" s="7">
        <v>0</v>
      </c>
      <c r="G26" s="7">
        <v>2000</v>
      </c>
      <c r="H26" s="7">
        <v>0</v>
      </c>
      <c r="I26" s="86">
        <v>20</v>
      </c>
      <c r="J26" s="7" t="s">
        <v>1697</v>
      </c>
      <c r="K26" s="7" t="s">
        <v>1698</v>
      </c>
      <c r="L26" s="7" t="s">
        <v>1699</v>
      </c>
      <c r="M26" s="9" t="b">
        <v>0</v>
      </c>
      <c r="N26" s="9" t="b">
        <v>0</v>
      </c>
      <c r="O26" s="7">
        <v>0</v>
      </c>
      <c r="P26" s="7" t="s">
        <v>30</v>
      </c>
      <c r="Q26" s="7"/>
      <c r="R26" s="8" t="s">
        <v>366</v>
      </c>
      <c r="S26" s="8" t="s">
        <v>1542</v>
      </c>
      <c r="T26" s="7" t="s">
        <v>33</v>
      </c>
      <c r="U26" s="7" t="s">
        <v>33</v>
      </c>
      <c r="V26" s="7" t="s">
        <v>1700</v>
      </c>
      <c r="W26" s="7" t="s">
        <v>11</v>
      </c>
      <c r="X26" s="7" t="s">
        <v>1544</v>
      </c>
      <c r="Y26" s="18" t="s">
        <v>1701</v>
      </c>
    </row>
    <row r="27" spans="1:25" ht="27" customHeight="1" x14ac:dyDescent="0.2">
      <c r="A27" s="11">
        <v>26</v>
      </c>
      <c r="B27" s="12" t="s">
        <v>1702</v>
      </c>
      <c r="C27" s="12" t="s">
        <v>1703</v>
      </c>
      <c r="D27" s="13" t="s">
        <v>199</v>
      </c>
      <c r="E27" s="12" t="s">
        <v>1704</v>
      </c>
      <c r="F27" s="12">
        <v>200</v>
      </c>
      <c r="G27" s="12">
        <v>300</v>
      </c>
      <c r="H27" s="12">
        <v>20</v>
      </c>
      <c r="I27" s="87">
        <v>15</v>
      </c>
      <c r="J27" s="12" t="s">
        <v>1705</v>
      </c>
      <c r="K27" s="12"/>
      <c r="L27" s="12"/>
      <c r="M27" s="14" t="b">
        <v>0</v>
      </c>
      <c r="N27" s="14" t="b">
        <v>0</v>
      </c>
      <c r="O27" s="12">
        <v>0</v>
      </c>
      <c r="P27" s="12" t="s">
        <v>268</v>
      </c>
      <c r="Q27" s="12"/>
      <c r="R27" s="13" t="s">
        <v>62</v>
      </c>
      <c r="S27" s="13" t="s">
        <v>1542</v>
      </c>
      <c r="T27" s="12" t="s">
        <v>33</v>
      </c>
      <c r="U27" s="12" t="s">
        <v>33</v>
      </c>
      <c r="V27" s="12" t="s">
        <v>1706</v>
      </c>
      <c r="W27" s="12" t="s">
        <v>35</v>
      </c>
      <c r="X27" s="12" t="s">
        <v>1544</v>
      </c>
      <c r="Y27" s="17" t="s">
        <v>1707</v>
      </c>
    </row>
    <row r="28" spans="1:25" ht="27" customHeight="1" x14ac:dyDescent="0.2">
      <c r="A28" s="6">
        <v>27</v>
      </c>
      <c r="B28" s="7" t="s">
        <v>1708</v>
      </c>
      <c r="C28" s="7" t="s">
        <v>1709</v>
      </c>
      <c r="D28" s="8" t="s">
        <v>27</v>
      </c>
      <c r="E28" s="7" t="s">
        <v>1710</v>
      </c>
      <c r="F28" s="7">
        <v>125</v>
      </c>
      <c r="G28" s="7">
        <v>300</v>
      </c>
      <c r="H28" s="7">
        <v>30</v>
      </c>
      <c r="I28" s="86">
        <v>5</v>
      </c>
      <c r="J28" s="7" t="s">
        <v>1711</v>
      </c>
      <c r="K28" s="7"/>
      <c r="L28" s="7"/>
      <c r="M28" s="9" t="b">
        <v>0</v>
      </c>
      <c r="N28" s="9" t="b">
        <v>0</v>
      </c>
      <c r="O28" s="7">
        <v>0</v>
      </c>
      <c r="P28" s="7" t="s">
        <v>180</v>
      </c>
      <c r="Q28" s="7" t="s">
        <v>226</v>
      </c>
      <c r="R28" s="8" t="s">
        <v>43</v>
      </c>
      <c r="S28" s="8" t="s">
        <v>1542</v>
      </c>
      <c r="T28" s="7" t="s">
        <v>33</v>
      </c>
      <c r="U28" s="7" t="s">
        <v>33</v>
      </c>
      <c r="V28" s="7" t="s">
        <v>1712</v>
      </c>
      <c r="W28" s="7" t="s">
        <v>35</v>
      </c>
      <c r="X28" s="7" t="s">
        <v>1544</v>
      </c>
      <c r="Y28" s="18" t="s">
        <v>1713</v>
      </c>
    </row>
    <row r="29" spans="1:25" ht="27" customHeight="1" x14ac:dyDescent="0.2">
      <c r="A29" s="11">
        <v>28</v>
      </c>
      <c r="B29" s="12" t="s">
        <v>1714</v>
      </c>
      <c r="C29" s="12" t="s">
        <v>1715</v>
      </c>
      <c r="D29" s="13" t="s">
        <v>27</v>
      </c>
      <c r="E29" s="12" t="s">
        <v>1716</v>
      </c>
      <c r="F29" s="12">
        <v>75</v>
      </c>
      <c r="G29" s="12">
        <v>300</v>
      </c>
      <c r="H29" s="12">
        <v>30</v>
      </c>
      <c r="I29" s="87">
        <v>20</v>
      </c>
      <c r="J29" s="12" t="s">
        <v>1717</v>
      </c>
      <c r="K29" s="12"/>
      <c r="L29" s="12"/>
      <c r="M29" s="14" t="b">
        <v>0</v>
      </c>
      <c r="N29" s="14" t="b">
        <v>0</v>
      </c>
      <c r="O29" s="12">
        <v>0</v>
      </c>
      <c r="P29" s="12" t="s">
        <v>268</v>
      </c>
      <c r="Q29" s="12" t="s">
        <v>226</v>
      </c>
      <c r="R29" s="13" t="s">
        <v>43</v>
      </c>
      <c r="S29" s="13" t="s">
        <v>1542</v>
      </c>
      <c r="T29" s="12" t="s">
        <v>33</v>
      </c>
      <c r="U29" s="12" t="s">
        <v>33</v>
      </c>
      <c r="V29" s="12" t="s">
        <v>1718</v>
      </c>
      <c r="W29" s="12" t="s">
        <v>35</v>
      </c>
      <c r="X29" s="12" t="s">
        <v>1544</v>
      </c>
      <c r="Y29" s="17" t="s">
        <v>1719</v>
      </c>
    </row>
    <row r="30" spans="1:25" ht="27" customHeight="1" x14ac:dyDescent="0.2">
      <c r="A30" s="6">
        <v>29</v>
      </c>
      <c r="B30" s="7" t="s">
        <v>1720</v>
      </c>
      <c r="C30" s="7" t="s">
        <v>1721</v>
      </c>
      <c r="D30" s="8" t="s">
        <v>59</v>
      </c>
      <c r="E30" s="7" t="s">
        <v>1722</v>
      </c>
      <c r="F30" s="7">
        <v>150</v>
      </c>
      <c r="G30" s="7">
        <v>300</v>
      </c>
      <c r="H30" s="7">
        <v>200</v>
      </c>
      <c r="I30" s="86">
        <v>20</v>
      </c>
      <c r="J30" s="7" t="s">
        <v>1723</v>
      </c>
      <c r="K30" s="7"/>
      <c r="L30" s="7" t="s">
        <v>1724</v>
      </c>
      <c r="M30" s="9" t="b">
        <v>0</v>
      </c>
      <c r="N30" s="9" t="b">
        <v>0</v>
      </c>
      <c r="O30" s="7">
        <v>0</v>
      </c>
      <c r="P30" s="7" t="s">
        <v>666</v>
      </c>
      <c r="Q30" s="7" t="s">
        <v>166</v>
      </c>
      <c r="R30" s="8" t="s">
        <v>187</v>
      </c>
      <c r="S30" s="8" t="s">
        <v>1542</v>
      </c>
      <c r="T30" s="7" t="s">
        <v>33</v>
      </c>
      <c r="U30" s="7" t="s">
        <v>33</v>
      </c>
      <c r="V30" s="7" t="s">
        <v>1470</v>
      </c>
      <c r="W30" s="7" t="s">
        <v>35</v>
      </c>
      <c r="X30" s="7" t="s">
        <v>1544</v>
      </c>
      <c r="Y30" s="18" t="s">
        <v>1725</v>
      </c>
    </row>
    <row r="31" spans="1:25" ht="27" customHeight="1" x14ac:dyDescent="0.2">
      <c r="A31" s="11">
        <v>30</v>
      </c>
      <c r="B31" s="12" t="s">
        <v>1726</v>
      </c>
      <c r="C31" s="12" t="s">
        <v>1727</v>
      </c>
      <c r="D31" s="13" t="s">
        <v>199</v>
      </c>
      <c r="E31" s="12" t="s">
        <v>1728</v>
      </c>
      <c r="F31" s="12">
        <v>175</v>
      </c>
      <c r="G31" s="12">
        <v>300</v>
      </c>
      <c r="H31" s="12">
        <v>30</v>
      </c>
      <c r="I31" s="87">
        <v>20</v>
      </c>
      <c r="J31" s="12" t="s">
        <v>1729</v>
      </c>
      <c r="K31" s="12"/>
      <c r="L31" s="12" t="s">
        <v>1730</v>
      </c>
      <c r="M31" s="14" t="b">
        <v>0</v>
      </c>
      <c r="N31" s="14" t="b">
        <v>0</v>
      </c>
      <c r="O31" s="12">
        <v>0</v>
      </c>
      <c r="P31" s="12" t="s">
        <v>666</v>
      </c>
      <c r="Q31" s="12" t="s">
        <v>908</v>
      </c>
      <c r="R31" s="13" t="s">
        <v>43</v>
      </c>
      <c r="S31" s="13" t="s">
        <v>1542</v>
      </c>
      <c r="T31" s="12" t="s">
        <v>33</v>
      </c>
      <c r="U31" s="12" t="s">
        <v>33</v>
      </c>
      <c r="V31" s="12" t="s">
        <v>1470</v>
      </c>
      <c r="W31" s="12" t="s">
        <v>35</v>
      </c>
      <c r="X31" s="12" t="s">
        <v>1544</v>
      </c>
      <c r="Y31" s="17" t="s">
        <v>1731</v>
      </c>
    </row>
    <row r="32" spans="1:25" ht="27" customHeight="1" x14ac:dyDescent="0.2">
      <c r="A32" s="6">
        <v>31</v>
      </c>
      <c r="B32" s="7" t="s">
        <v>1732</v>
      </c>
      <c r="C32" s="7" t="s">
        <v>1733</v>
      </c>
      <c r="D32" s="8" t="s">
        <v>105</v>
      </c>
      <c r="E32" s="7" t="s">
        <v>1734</v>
      </c>
      <c r="F32" s="7">
        <v>225</v>
      </c>
      <c r="G32" s="7">
        <v>300</v>
      </c>
      <c r="H32" s="7">
        <v>13</v>
      </c>
      <c r="I32" s="86">
        <v>7.5</v>
      </c>
      <c r="J32" s="7" t="s">
        <v>1735</v>
      </c>
      <c r="K32" s="7"/>
      <c r="L32" s="7" t="s">
        <v>1736</v>
      </c>
      <c r="M32" s="9" t="b">
        <v>0</v>
      </c>
      <c r="N32" s="9" t="b">
        <v>0</v>
      </c>
      <c r="O32" s="7">
        <v>0</v>
      </c>
      <c r="P32" s="7" t="s">
        <v>180</v>
      </c>
      <c r="Q32" s="7"/>
      <c r="R32" s="8" t="s">
        <v>43</v>
      </c>
      <c r="S32" s="8" t="s">
        <v>1737</v>
      </c>
      <c r="T32" s="7" t="s">
        <v>33</v>
      </c>
      <c r="U32" s="7" t="s">
        <v>33</v>
      </c>
      <c r="V32" s="7" t="s">
        <v>1470</v>
      </c>
      <c r="W32" s="7" t="s">
        <v>111</v>
      </c>
      <c r="X32" s="7" t="s">
        <v>1544</v>
      </c>
      <c r="Y32" s="18" t="s">
        <v>1738</v>
      </c>
    </row>
    <row r="33" spans="1:25" ht="27" customHeight="1" x14ac:dyDescent="0.2">
      <c r="A33" s="11">
        <v>32</v>
      </c>
      <c r="B33" s="12" t="s">
        <v>1739</v>
      </c>
      <c r="C33" s="12" t="s">
        <v>1740</v>
      </c>
      <c r="D33" s="13" t="s">
        <v>68</v>
      </c>
      <c r="E33" s="12" t="s">
        <v>1741</v>
      </c>
      <c r="F33" s="12">
        <v>150</v>
      </c>
      <c r="G33" s="12">
        <v>300</v>
      </c>
      <c r="H33" s="12">
        <v>100</v>
      </c>
      <c r="I33" s="87">
        <v>20</v>
      </c>
      <c r="J33" s="12" t="s">
        <v>1742</v>
      </c>
      <c r="K33" s="12"/>
      <c r="L33" s="12"/>
      <c r="M33" s="14" t="b">
        <v>0</v>
      </c>
      <c r="N33" s="14" t="b">
        <v>0</v>
      </c>
      <c r="O33" s="12">
        <v>0</v>
      </c>
      <c r="P33" s="12" t="s">
        <v>666</v>
      </c>
      <c r="Q33" s="12" t="s">
        <v>226</v>
      </c>
      <c r="R33" s="13" t="s">
        <v>187</v>
      </c>
      <c r="S33" s="13" t="s">
        <v>1542</v>
      </c>
      <c r="T33" s="12" t="s">
        <v>33</v>
      </c>
      <c r="U33" s="12" t="s">
        <v>33</v>
      </c>
      <c r="V33" s="12" t="s">
        <v>1470</v>
      </c>
      <c r="W33" s="12" t="s">
        <v>35</v>
      </c>
      <c r="X33" s="12" t="s">
        <v>1544</v>
      </c>
      <c r="Y33" s="17" t="s">
        <v>1743</v>
      </c>
    </row>
    <row r="34" spans="1:25" ht="27" customHeight="1" x14ac:dyDescent="0.2">
      <c r="A34" s="6">
        <v>33</v>
      </c>
      <c r="B34" s="7" t="s">
        <v>1744</v>
      </c>
      <c r="C34" s="7" t="s">
        <v>1745</v>
      </c>
      <c r="D34" s="8" t="s">
        <v>49</v>
      </c>
      <c r="E34" s="7" t="s">
        <v>1746</v>
      </c>
      <c r="F34" s="7">
        <v>125</v>
      </c>
      <c r="G34" s="7">
        <v>6000</v>
      </c>
      <c r="H34" s="7">
        <v>0</v>
      </c>
      <c r="I34" s="86">
        <v>15</v>
      </c>
      <c r="J34" s="7" t="s">
        <v>1747</v>
      </c>
      <c r="K34" s="7"/>
      <c r="L34" s="7"/>
      <c r="M34" s="9" t="b">
        <v>0</v>
      </c>
      <c r="N34" s="9" t="b">
        <v>0</v>
      </c>
      <c r="O34" s="7">
        <v>0</v>
      </c>
      <c r="P34" s="7" t="s">
        <v>122</v>
      </c>
      <c r="Q34" s="7"/>
      <c r="R34" s="8" t="s">
        <v>130</v>
      </c>
      <c r="S34" s="8" t="s">
        <v>1542</v>
      </c>
      <c r="T34" s="7" t="s">
        <v>33</v>
      </c>
      <c r="U34" s="7" t="s">
        <v>33</v>
      </c>
      <c r="V34" s="7" t="s">
        <v>1470</v>
      </c>
      <c r="W34" s="7" t="s">
        <v>54</v>
      </c>
      <c r="X34" s="7" t="s">
        <v>1544</v>
      </c>
      <c r="Y34" s="18" t="s">
        <v>1748</v>
      </c>
    </row>
    <row r="35" spans="1:25" ht="27" customHeight="1" x14ac:dyDescent="0.2">
      <c r="A35" s="11">
        <v>34</v>
      </c>
      <c r="B35" s="12" t="s">
        <v>1749</v>
      </c>
      <c r="C35" s="12" t="s">
        <v>1750</v>
      </c>
      <c r="D35" s="13" t="s">
        <v>95</v>
      </c>
      <c r="E35" s="12" t="s">
        <v>1751</v>
      </c>
      <c r="F35" s="12">
        <v>25</v>
      </c>
      <c r="G35" s="12">
        <v>100</v>
      </c>
      <c r="H35" s="12">
        <v>0</v>
      </c>
      <c r="I35" s="87">
        <v>13</v>
      </c>
      <c r="J35" s="12" t="s">
        <v>1468</v>
      </c>
      <c r="K35" s="12"/>
      <c r="L35" s="12"/>
      <c r="M35" s="14" t="b">
        <v>1</v>
      </c>
      <c r="N35" s="14" t="b">
        <v>1</v>
      </c>
      <c r="O35" s="12">
        <v>0</v>
      </c>
      <c r="P35" s="12" t="s">
        <v>122</v>
      </c>
      <c r="Q35" s="12"/>
      <c r="R35" s="13" t="s">
        <v>130</v>
      </c>
      <c r="S35" s="13" t="s">
        <v>1542</v>
      </c>
      <c r="T35" s="12" t="s">
        <v>33</v>
      </c>
      <c r="U35" s="12" t="s">
        <v>33</v>
      </c>
      <c r="V35" s="12" t="s">
        <v>1752</v>
      </c>
      <c r="W35" s="12" t="s">
        <v>11</v>
      </c>
      <c r="X35" s="12" t="s">
        <v>1544</v>
      </c>
      <c r="Y35" s="17" t="s">
        <v>1753</v>
      </c>
    </row>
    <row r="36" spans="1:25" ht="27" customHeight="1" x14ac:dyDescent="0.2">
      <c r="A36" s="6">
        <v>35</v>
      </c>
      <c r="B36" s="7" t="s">
        <v>1754</v>
      </c>
      <c r="C36" s="7" t="s">
        <v>1755</v>
      </c>
      <c r="D36" s="8" t="s">
        <v>68</v>
      </c>
      <c r="E36" s="7" t="s">
        <v>1756</v>
      </c>
      <c r="F36" s="7">
        <v>175</v>
      </c>
      <c r="G36" s="7">
        <v>300</v>
      </c>
      <c r="H36" s="7">
        <v>100</v>
      </c>
      <c r="I36" s="86">
        <v>10</v>
      </c>
      <c r="J36" s="7" t="s">
        <v>1757</v>
      </c>
      <c r="K36" s="7"/>
      <c r="L36" s="7"/>
      <c r="M36" s="9" t="b">
        <v>0</v>
      </c>
      <c r="N36" s="9" t="b">
        <v>0</v>
      </c>
      <c r="O36" s="7">
        <v>0</v>
      </c>
      <c r="P36" s="7" t="s">
        <v>666</v>
      </c>
      <c r="Q36" s="7"/>
      <c r="R36" s="8" t="s">
        <v>130</v>
      </c>
      <c r="S36" s="8" t="s">
        <v>1542</v>
      </c>
      <c r="T36" s="7" t="s">
        <v>33</v>
      </c>
      <c r="U36" s="7" t="s">
        <v>33</v>
      </c>
      <c r="V36" s="7" t="s">
        <v>1470</v>
      </c>
      <c r="W36" s="7" t="s">
        <v>35</v>
      </c>
      <c r="X36" s="7" t="s">
        <v>1544</v>
      </c>
      <c r="Y36" s="18" t="s">
        <v>1758</v>
      </c>
    </row>
    <row r="37" spans="1:25" ht="27" customHeight="1" x14ac:dyDescent="0.2">
      <c r="A37" s="11">
        <v>36</v>
      </c>
      <c r="B37" s="12" t="s">
        <v>1759</v>
      </c>
      <c r="C37" s="12" t="s">
        <v>1760</v>
      </c>
      <c r="D37" s="13" t="s">
        <v>95</v>
      </c>
      <c r="E37" s="12" t="s">
        <v>1761</v>
      </c>
      <c r="F37" s="12">
        <v>50</v>
      </c>
      <c r="G37" s="12">
        <v>300</v>
      </c>
      <c r="H37" s="12">
        <v>0</v>
      </c>
      <c r="I37" s="87">
        <v>10</v>
      </c>
      <c r="J37" s="12" t="s">
        <v>1762</v>
      </c>
      <c r="K37" s="12"/>
      <c r="L37" s="12"/>
      <c r="M37" s="14" t="b">
        <v>0</v>
      </c>
      <c r="N37" s="14" t="b">
        <v>0</v>
      </c>
      <c r="O37" s="12">
        <v>0</v>
      </c>
      <c r="P37" s="12" t="s">
        <v>122</v>
      </c>
      <c r="Q37" s="12" t="s">
        <v>1763</v>
      </c>
      <c r="R37" s="13" t="s">
        <v>43</v>
      </c>
      <c r="S37" s="13" t="s">
        <v>1542</v>
      </c>
      <c r="T37" s="12" t="s">
        <v>33</v>
      </c>
      <c r="U37" s="12" t="s">
        <v>33</v>
      </c>
      <c r="V37" s="12" t="s">
        <v>1470</v>
      </c>
      <c r="W37" s="12" t="s">
        <v>11</v>
      </c>
      <c r="X37" s="12" t="s">
        <v>1544</v>
      </c>
      <c r="Y37" s="17" t="s">
        <v>1764</v>
      </c>
    </row>
    <row r="38" spans="1:25" ht="27" customHeight="1" x14ac:dyDescent="0.2">
      <c r="A38" s="6">
        <v>37</v>
      </c>
      <c r="B38" s="7" t="s">
        <v>1765</v>
      </c>
      <c r="C38" s="7" t="s">
        <v>1766</v>
      </c>
      <c r="D38" s="8" t="s">
        <v>49</v>
      </c>
      <c r="E38" s="7" t="s">
        <v>1767</v>
      </c>
      <c r="F38" s="7">
        <v>100</v>
      </c>
      <c r="G38" s="7">
        <v>4000</v>
      </c>
      <c r="H38" s="7">
        <v>0</v>
      </c>
      <c r="I38" s="86">
        <v>10</v>
      </c>
      <c r="J38" s="7" t="s">
        <v>1768</v>
      </c>
      <c r="K38" s="7"/>
      <c r="L38" s="7"/>
      <c r="M38" s="9" t="b">
        <v>0</v>
      </c>
      <c r="N38" s="9" t="b">
        <v>0</v>
      </c>
      <c r="O38" s="7">
        <v>0</v>
      </c>
      <c r="P38" s="7" t="s">
        <v>122</v>
      </c>
      <c r="Q38" s="7"/>
      <c r="R38" s="8" t="s">
        <v>43</v>
      </c>
      <c r="S38" s="8" t="s">
        <v>1542</v>
      </c>
      <c r="T38" s="7" t="s">
        <v>33</v>
      </c>
      <c r="U38" s="7" t="s">
        <v>33</v>
      </c>
      <c r="V38" s="7" t="s">
        <v>1470</v>
      </c>
      <c r="W38" s="7" t="s">
        <v>54</v>
      </c>
      <c r="X38" s="7" t="s">
        <v>1544</v>
      </c>
      <c r="Y38" s="18" t="s">
        <v>1769</v>
      </c>
    </row>
    <row r="39" spans="1:25" ht="27" customHeight="1" x14ac:dyDescent="0.2">
      <c r="A39" s="11">
        <v>38</v>
      </c>
      <c r="B39" s="12" t="s">
        <v>1770</v>
      </c>
      <c r="C39" s="12" t="s">
        <v>1770</v>
      </c>
      <c r="D39" s="13" t="s">
        <v>27</v>
      </c>
      <c r="E39" s="12" t="s">
        <v>1771</v>
      </c>
      <c r="F39" s="12">
        <v>200</v>
      </c>
      <c r="G39" s="12">
        <v>300</v>
      </c>
      <c r="H39" s="12">
        <v>120</v>
      </c>
      <c r="I39" s="86">
        <v>7.5</v>
      </c>
      <c r="J39" s="12" t="s">
        <v>1772</v>
      </c>
      <c r="K39" s="12"/>
      <c r="L39" s="12"/>
      <c r="M39" s="14" t="b">
        <v>0</v>
      </c>
      <c r="N39" s="14" t="b">
        <v>0</v>
      </c>
      <c r="O39" s="12">
        <v>0</v>
      </c>
      <c r="P39" s="12" t="s">
        <v>180</v>
      </c>
      <c r="Q39" s="12"/>
      <c r="R39" s="13" t="s">
        <v>72</v>
      </c>
      <c r="S39" s="13" t="s">
        <v>1542</v>
      </c>
      <c r="T39" s="12" t="s">
        <v>33</v>
      </c>
      <c r="U39" s="12" t="s">
        <v>33</v>
      </c>
      <c r="V39" s="12" t="s">
        <v>1470</v>
      </c>
      <c r="W39" s="12" t="s">
        <v>35</v>
      </c>
      <c r="X39" s="12" t="s">
        <v>1544</v>
      </c>
      <c r="Y39" s="17" t="s">
        <v>1773</v>
      </c>
    </row>
    <row r="40" spans="1:25" ht="27" customHeight="1" x14ac:dyDescent="0.2">
      <c r="A40" s="6">
        <v>39</v>
      </c>
      <c r="B40" s="7" t="s">
        <v>1774</v>
      </c>
      <c r="C40" s="7" t="s">
        <v>1775</v>
      </c>
      <c r="D40" s="8" t="s">
        <v>78</v>
      </c>
      <c r="E40" s="7" t="s">
        <v>1776</v>
      </c>
      <c r="F40" s="7">
        <v>200</v>
      </c>
      <c r="G40" s="7">
        <v>300</v>
      </c>
      <c r="H40" s="7">
        <v>60</v>
      </c>
      <c r="I40" s="86">
        <v>7</v>
      </c>
      <c r="J40" s="7" t="s">
        <v>1777</v>
      </c>
      <c r="K40" s="7"/>
      <c r="L40" s="7"/>
      <c r="M40" s="9" t="b">
        <v>0</v>
      </c>
      <c r="N40" s="9" t="b">
        <v>0</v>
      </c>
      <c r="O40" s="7">
        <v>0</v>
      </c>
      <c r="P40" s="7" t="s">
        <v>268</v>
      </c>
      <c r="Q40" s="7" t="s">
        <v>226</v>
      </c>
      <c r="R40" s="8" t="s">
        <v>72</v>
      </c>
      <c r="S40" s="8" t="s">
        <v>1542</v>
      </c>
      <c r="T40" s="7" t="s">
        <v>33</v>
      </c>
      <c r="U40" s="7" t="s">
        <v>33</v>
      </c>
      <c r="V40" s="7" t="s">
        <v>1470</v>
      </c>
      <c r="W40" s="7" t="s">
        <v>111</v>
      </c>
      <c r="X40" s="7" t="s">
        <v>1544</v>
      </c>
      <c r="Y40" s="18" t="s">
        <v>1778</v>
      </c>
    </row>
    <row r="41" spans="1:25" ht="27" customHeight="1" x14ac:dyDescent="0.2">
      <c r="A41" s="11">
        <v>40</v>
      </c>
      <c r="B41" s="12" t="s">
        <v>1779</v>
      </c>
      <c r="C41" s="12" t="s">
        <v>1780</v>
      </c>
      <c r="D41" s="13" t="s">
        <v>199</v>
      </c>
      <c r="E41" s="12" t="s">
        <v>1781</v>
      </c>
      <c r="F41" s="12">
        <v>150</v>
      </c>
      <c r="G41" s="12">
        <v>300</v>
      </c>
      <c r="H41" s="12">
        <v>120</v>
      </c>
      <c r="I41" s="87">
        <v>10</v>
      </c>
      <c r="J41" s="12" t="s">
        <v>1782</v>
      </c>
      <c r="K41" s="12"/>
      <c r="L41" s="12"/>
      <c r="M41" s="14" t="b">
        <v>0</v>
      </c>
      <c r="N41" s="14" t="b">
        <v>0</v>
      </c>
      <c r="O41" s="12">
        <v>0</v>
      </c>
      <c r="P41" s="12" t="s">
        <v>666</v>
      </c>
      <c r="Q41" s="12" t="s">
        <v>1783</v>
      </c>
      <c r="R41" s="13" t="s">
        <v>43</v>
      </c>
      <c r="S41" s="13" t="s">
        <v>1542</v>
      </c>
      <c r="T41" s="12" t="s">
        <v>33</v>
      </c>
      <c r="U41" s="12" t="s">
        <v>33</v>
      </c>
      <c r="V41" s="12" t="s">
        <v>1470</v>
      </c>
      <c r="W41" s="12" t="s">
        <v>35</v>
      </c>
      <c r="X41" s="12" t="s">
        <v>1544</v>
      </c>
      <c r="Y41" s="17" t="s">
        <v>1784</v>
      </c>
    </row>
    <row r="42" spans="1:25" ht="27" customHeight="1" x14ac:dyDescent="0.2">
      <c r="A42" s="6">
        <v>41</v>
      </c>
      <c r="B42" s="7" t="s">
        <v>1785</v>
      </c>
      <c r="C42" s="7" t="s">
        <v>1786</v>
      </c>
      <c r="D42" s="8" t="s">
        <v>78</v>
      </c>
      <c r="E42" s="7" t="s">
        <v>1787</v>
      </c>
      <c r="F42" s="7">
        <v>175</v>
      </c>
      <c r="G42" s="7">
        <v>300</v>
      </c>
      <c r="H42" s="7">
        <v>120</v>
      </c>
      <c r="I42" s="86">
        <v>10</v>
      </c>
      <c r="J42" s="7" t="s">
        <v>1788</v>
      </c>
      <c r="K42" s="7" t="s">
        <v>1789</v>
      </c>
      <c r="L42" s="7"/>
      <c r="M42" s="9" t="b">
        <v>0</v>
      </c>
      <c r="N42" s="9" t="b">
        <v>0</v>
      </c>
      <c r="O42" s="7">
        <v>0</v>
      </c>
      <c r="P42" s="7" t="s">
        <v>666</v>
      </c>
      <c r="Q42" s="7"/>
      <c r="R42" s="8" t="s">
        <v>72</v>
      </c>
      <c r="S42" s="8" t="s">
        <v>1542</v>
      </c>
      <c r="T42" s="7" t="s">
        <v>33</v>
      </c>
      <c r="U42" s="7" t="s">
        <v>33</v>
      </c>
      <c r="V42" s="7" t="s">
        <v>1470</v>
      </c>
      <c r="W42" s="7" t="s">
        <v>35</v>
      </c>
      <c r="X42" s="7" t="s">
        <v>1544</v>
      </c>
      <c r="Y42" s="18" t="s">
        <v>1790</v>
      </c>
    </row>
    <row r="43" spans="1:25" ht="27" customHeight="1" x14ac:dyDescent="0.2">
      <c r="A43" s="11">
        <v>42</v>
      </c>
      <c r="B43" s="12" t="s">
        <v>1791</v>
      </c>
      <c r="C43" s="12" t="s">
        <v>1792</v>
      </c>
      <c r="D43" s="13" t="s">
        <v>27</v>
      </c>
      <c r="E43" s="12" t="s">
        <v>1793</v>
      </c>
      <c r="F43" s="12">
        <v>200</v>
      </c>
      <c r="G43" s="12">
        <v>300</v>
      </c>
      <c r="H43" s="12">
        <v>60</v>
      </c>
      <c r="I43" s="87">
        <v>5</v>
      </c>
      <c r="J43" s="12" t="s">
        <v>1794</v>
      </c>
      <c r="K43" s="12" t="s">
        <v>1795</v>
      </c>
      <c r="L43" s="12" t="s">
        <v>1796</v>
      </c>
      <c r="M43" s="14" t="b">
        <v>0</v>
      </c>
      <c r="N43" s="14" t="b">
        <v>0</v>
      </c>
      <c r="O43" s="12">
        <v>0</v>
      </c>
      <c r="P43" s="12" t="s">
        <v>666</v>
      </c>
      <c r="Q43" s="12" t="s">
        <v>157</v>
      </c>
      <c r="R43" s="13" t="s">
        <v>366</v>
      </c>
      <c r="S43" s="13" t="s">
        <v>1542</v>
      </c>
      <c r="T43" s="12" t="s">
        <v>33</v>
      </c>
      <c r="U43" s="12" t="s">
        <v>33</v>
      </c>
      <c r="V43" s="12" t="s">
        <v>1470</v>
      </c>
      <c r="W43" s="12" t="s">
        <v>35</v>
      </c>
      <c r="X43" s="12" t="s">
        <v>1544</v>
      </c>
      <c r="Y43" s="17" t="s">
        <v>1797</v>
      </c>
    </row>
    <row r="44" spans="1:25" ht="27" customHeight="1" x14ac:dyDescent="0.2">
      <c r="A44" s="6">
        <v>43</v>
      </c>
      <c r="B44" s="7" t="s">
        <v>1798</v>
      </c>
      <c r="C44" s="7" t="s">
        <v>1798</v>
      </c>
      <c r="D44" s="8" t="s">
        <v>49</v>
      </c>
      <c r="E44" s="7" t="s">
        <v>1799</v>
      </c>
      <c r="F44" s="7">
        <v>100</v>
      </c>
      <c r="G44" s="7">
        <v>6000</v>
      </c>
      <c r="H44" s="7">
        <v>15</v>
      </c>
      <c r="I44" s="86">
        <v>15</v>
      </c>
      <c r="J44" s="7" t="s">
        <v>1800</v>
      </c>
      <c r="K44" s="7" t="s">
        <v>1801</v>
      </c>
      <c r="L44" s="7" t="s">
        <v>1802</v>
      </c>
      <c r="M44" s="9" t="b">
        <v>0</v>
      </c>
      <c r="N44" s="9" t="b">
        <v>0</v>
      </c>
      <c r="O44" s="7">
        <v>0</v>
      </c>
      <c r="P44" s="7" t="s">
        <v>666</v>
      </c>
      <c r="Q44" s="7" t="s">
        <v>344</v>
      </c>
      <c r="R44" s="8" t="s">
        <v>740</v>
      </c>
      <c r="S44" s="8" t="s">
        <v>1542</v>
      </c>
      <c r="T44" s="7" t="s">
        <v>33</v>
      </c>
      <c r="U44" s="7" t="s">
        <v>33</v>
      </c>
      <c r="V44" s="7" t="s">
        <v>1470</v>
      </c>
      <c r="W44" s="7" t="s">
        <v>54</v>
      </c>
      <c r="X44" s="7" t="s">
        <v>1544</v>
      </c>
      <c r="Y44" s="18" t="s">
        <v>1803</v>
      </c>
    </row>
    <row r="45" spans="1:25" ht="27" customHeight="1" x14ac:dyDescent="0.2">
      <c r="A45" s="11">
        <v>44</v>
      </c>
      <c r="B45" s="12" t="s">
        <v>1804</v>
      </c>
      <c r="C45" s="12" t="s">
        <v>1805</v>
      </c>
      <c r="D45" s="13" t="s">
        <v>356</v>
      </c>
      <c r="E45" s="12" t="s">
        <v>1806</v>
      </c>
      <c r="F45" s="12">
        <v>250</v>
      </c>
      <c r="G45" s="12">
        <v>300</v>
      </c>
      <c r="H45" s="12">
        <v>60</v>
      </c>
      <c r="I45" s="87">
        <v>5</v>
      </c>
      <c r="J45" s="12" t="s">
        <v>1807</v>
      </c>
      <c r="K45" s="12" t="s">
        <v>1808</v>
      </c>
      <c r="L45" s="12" t="s">
        <v>1809</v>
      </c>
      <c r="M45" s="14" t="b">
        <v>0</v>
      </c>
      <c r="N45" s="14" t="b">
        <v>0</v>
      </c>
      <c r="O45" s="12">
        <v>0</v>
      </c>
      <c r="P45" s="12" t="s">
        <v>666</v>
      </c>
      <c r="Q45" s="12"/>
      <c r="R45" s="13" t="s">
        <v>72</v>
      </c>
      <c r="S45" s="13" t="s">
        <v>1542</v>
      </c>
      <c r="T45" s="12" t="s">
        <v>33</v>
      </c>
      <c r="U45" s="12" t="s">
        <v>33</v>
      </c>
      <c r="V45" s="12" t="s">
        <v>1470</v>
      </c>
      <c r="W45" s="12" t="s">
        <v>35</v>
      </c>
      <c r="X45" s="12" t="s">
        <v>1544</v>
      </c>
      <c r="Y45" s="17" t="s">
        <v>1810</v>
      </c>
    </row>
    <row r="46" spans="1:25" ht="27" customHeight="1" x14ac:dyDescent="0.2">
      <c r="A46" s="6">
        <v>45</v>
      </c>
      <c r="B46" s="7" t="s">
        <v>1811</v>
      </c>
      <c r="C46" s="7" t="s">
        <v>1812</v>
      </c>
      <c r="D46" s="8" t="s">
        <v>78</v>
      </c>
      <c r="E46" s="7" t="s">
        <v>1813</v>
      </c>
      <c r="F46" s="7">
        <v>200</v>
      </c>
      <c r="G46" s="7">
        <v>300</v>
      </c>
      <c r="H46" s="7">
        <v>100</v>
      </c>
      <c r="I46" s="86">
        <v>5</v>
      </c>
      <c r="J46" s="7" t="s">
        <v>1814</v>
      </c>
      <c r="K46" s="7" t="s">
        <v>1815</v>
      </c>
      <c r="L46" s="7" t="s">
        <v>1816</v>
      </c>
      <c r="M46" s="9" t="b">
        <v>0</v>
      </c>
      <c r="N46" s="9" t="b">
        <v>0</v>
      </c>
      <c r="O46" s="7">
        <v>0</v>
      </c>
      <c r="P46" s="7" t="s">
        <v>666</v>
      </c>
      <c r="Q46" s="7" t="s">
        <v>1817</v>
      </c>
      <c r="R46" s="8" t="s">
        <v>72</v>
      </c>
      <c r="S46" s="8" t="s">
        <v>1542</v>
      </c>
      <c r="T46" s="7" t="s">
        <v>33</v>
      </c>
      <c r="U46" s="7" t="s">
        <v>33</v>
      </c>
      <c r="V46" s="7" t="s">
        <v>1470</v>
      </c>
      <c r="W46" s="7" t="s">
        <v>35</v>
      </c>
      <c r="X46" s="7" t="s">
        <v>1544</v>
      </c>
      <c r="Y46" s="18" t="s">
        <v>1818</v>
      </c>
    </row>
    <row r="47" spans="1:25" ht="27" customHeight="1" x14ac:dyDescent="0.2">
      <c r="A47" s="11">
        <v>46</v>
      </c>
      <c r="B47" s="12" t="s">
        <v>1819</v>
      </c>
      <c r="C47" s="12" t="s">
        <v>1820</v>
      </c>
      <c r="D47" s="13" t="s">
        <v>135</v>
      </c>
      <c r="E47" s="12" t="s">
        <v>1821</v>
      </c>
      <c r="F47" s="12">
        <v>225</v>
      </c>
      <c r="G47" s="12">
        <v>300</v>
      </c>
      <c r="H47" s="12">
        <v>36</v>
      </c>
      <c r="I47" s="86">
        <v>7.5</v>
      </c>
      <c r="J47" s="12" t="s">
        <v>1822</v>
      </c>
      <c r="K47" s="12"/>
      <c r="L47" s="12" t="s">
        <v>1823</v>
      </c>
      <c r="M47" s="14" t="b">
        <v>0</v>
      </c>
      <c r="N47" s="14" t="b">
        <v>0</v>
      </c>
      <c r="O47" s="12">
        <v>0</v>
      </c>
      <c r="P47" s="12" t="s">
        <v>268</v>
      </c>
      <c r="Q47" s="12"/>
      <c r="R47" s="13" t="s">
        <v>366</v>
      </c>
      <c r="S47" s="13" t="s">
        <v>1737</v>
      </c>
      <c r="T47" s="12" t="s">
        <v>33</v>
      </c>
      <c r="U47" s="12" t="s">
        <v>33</v>
      </c>
      <c r="V47" s="12" t="s">
        <v>1470</v>
      </c>
      <c r="W47" s="12" t="s">
        <v>35</v>
      </c>
      <c r="X47" s="12" t="s">
        <v>1544</v>
      </c>
      <c r="Y47" s="17" t="s">
        <v>1824</v>
      </c>
    </row>
    <row r="48" spans="1:25" ht="27" customHeight="1" x14ac:dyDescent="0.2">
      <c r="A48" s="6">
        <v>47</v>
      </c>
      <c r="B48" s="7" t="s">
        <v>1825</v>
      </c>
      <c r="C48" s="7" t="s">
        <v>1826</v>
      </c>
      <c r="D48" s="8" t="s">
        <v>86</v>
      </c>
      <c r="E48" s="7" t="s">
        <v>1821</v>
      </c>
      <c r="F48" s="7">
        <v>175</v>
      </c>
      <c r="G48" s="7">
        <v>300</v>
      </c>
      <c r="H48" s="7">
        <v>36</v>
      </c>
      <c r="I48" s="86">
        <v>5</v>
      </c>
      <c r="J48" s="7" t="s">
        <v>1827</v>
      </c>
      <c r="K48" s="7"/>
      <c r="L48" s="7"/>
      <c r="M48" s="9" t="b">
        <v>0</v>
      </c>
      <c r="N48" s="9" t="b">
        <v>0</v>
      </c>
      <c r="O48" s="7">
        <v>0</v>
      </c>
      <c r="P48" s="7" t="s">
        <v>666</v>
      </c>
      <c r="Q48" s="7" t="s">
        <v>1828</v>
      </c>
      <c r="R48" s="8" t="s">
        <v>366</v>
      </c>
      <c r="S48" s="8" t="s">
        <v>1737</v>
      </c>
      <c r="T48" s="7" t="s">
        <v>33</v>
      </c>
      <c r="U48" s="7" t="s">
        <v>33</v>
      </c>
      <c r="V48" s="7" t="s">
        <v>1470</v>
      </c>
      <c r="W48" s="7" t="s">
        <v>35</v>
      </c>
      <c r="X48" s="7" t="s">
        <v>1544</v>
      </c>
      <c r="Y48" s="18" t="s">
        <v>1829</v>
      </c>
    </row>
    <row r="49" spans="1:25" ht="27" customHeight="1" x14ac:dyDescent="0.2">
      <c r="A49" s="11">
        <v>48</v>
      </c>
      <c r="B49" s="12" t="s">
        <v>1830</v>
      </c>
      <c r="C49" s="12" t="s">
        <v>1831</v>
      </c>
      <c r="D49" s="13" t="s">
        <v>68</v>
      </c>
      <c r="E49" s="12" t="s">
        <v>1832</v>
      </c>
      <c r="F49" s="12">
        <v>450</v>
      </c>
      <c r="G49" s="12">
        <v>300</v>
      </c>
      <c r="H49" s="12">
        <v>200</v>
      </c>
      <c r="I49" s="87">
        <v>10</v>
      </c>
      <c r="J49" s="12" t="s">
        <v>1833</v>
      </c>
      <c r="K49" s="12"/>
      <c r="L49" s="12" t="s">
        <v>1834</v>
      </c>
      <c r="M49" s="14" t="b">
        <v>0</v>
      </c>
      <c r="N49" s="14" t="b">
        <v>0</v>
      </c>
      <c r="O49" s="12">
        <v>0</v>
      </c>
      <c r="P49" s="12" t="s">
        <v>180</v>
      </c>
      <c r="Q49" s="12" t="s">
        <v>226</v>
      </c>
      <c r="R49" s="13" t="s">
        <v>62</v>
      </c>
      <c r="S49" s="13" t="s">
        <v>1737</v>
      </c>
      <c r="T49" s="12">
        <v>400</v>
      </c>
      <c r="U49" s="12">
        <v>1800</v>
      </c>
      <c r="V49" s="12" t="s">
        <v>1470</v>
      </c>
      <c r="W49" s="12" t="s">
        <v>35</v>
      </c>
      <c r="X49" s="12" t="s">
        <v>1663</v>
      </c>
      <c r="Y49" s="17" t="s">
        <v>1835</v>
      </c>
    </row>
    <row r="50" spans="1:25" ht="27" customHeight="1" x14ac:dyDescent="0.2">
      <c r="A50" s="6">
        <v>49</v>
      </c>
      <c r="B50" s="7" t="s">
        <v>1836</v>
      </c>
      <c r="C50" s="7" t="s">
        <v>1837</v>
      </c>
      <c r="D50" s="8" t="s">
        <v>105</v>
      </c>
      <c r="E50" s="7" t="s">
        <v>1838</v>
      </c>
      <c r="F50" s="7">
        <v>150</v>
      </c>
      <c r="G50" s="7">
        <v>4000</v>
      </c>
      <c r="H50" s="7">
        <v>210</v>
      </c>
      <c r="I50" s="86">
        <v>20</v>
      </c>
      <c r="J50" s="7" t="s">
        <v>1839</v>
      </c>
      <c r="K50" s="7" t="s">
        <v>1840</v>
      </c>
      <c r="L50" s="7"/>
      <c r="M50" s="9" t="b">
        <v>0</v>
      </c>
      <c r="N50" s="9" t="b">
        <v>0</v>
      </c>
      <c r="O50" s="7">
        <v>0</v>
      </c>
      <c r="P50" s="7" t="s">
        <v>180</v>
      </c>
      <c r="Q50" s="7" t="s">
        <v>157</v>
      </c>
      <c r="R50" s="8" t="s">
        <v>270</v>
      </c>
      <c r="S50" s="8" t="s">
        <v>1737</v>
      </c>
      <c r="T50" s="7" t="s">
        <v>33</v>
      </c>
      <c r="U50" s="7" t="s">
        <v>33</v>
      </c>
      <c r="V50" s="7" t="s">
        <v>1470</v>
      </c>
      <c r="W50" s="7" t="s">
        <v>54</v>
      </c>
      <c r="X50" s="7" t="s">
        <v>1544</v>
      </c>
      <c r="Y50" s="18" t="s">
        <v>1841</v>
      </c>
    </row>
    <row r="51" spans="1:25" ht="27" customHeight="1" x14ac:dyDescent="0.2">
      <c r="A51" s="11">
        <v>50</v>
      </c>
      <c r="B51" s="12" t="s">
        <v>1842</v>
      </c>
      <c r="C51" s="12" t="s">
        <v>1843</v>
      </c>
      <c r="D51" s="13" t="s">
        <v>27</v>
      </c>
      <c r="E51" s="12" t="s">
        <v>1844</v>
      </c>
      <c r="F51" s="12">
        <v>325</v>
      </c>
      <c r="G51" s="12">
        <v>300</v>
      </c>
      <c r="H51" s="12">
        <v>45</v>
      </c>
      <c r="I51" s="87">
        <v>5</v>
      </c>
      <c r="J51" s="12" t="s">
        <v>1845</v>
      </c>
      <c r="K51" s="12" t="s">
        <v>1846</v>
      </c>
      <c r="L51" s="12"/>
      <c r="M51" s="14" t="b">
        <v>0</v>
      </c>
      <c r="N51" s="14" t="b">
        <v>0</v>
      </c>
      <c r="O51" s="12">
        <v>0</v>
      </c>
      <c r="P51" s="12" t="s">
        <v>122</v>
      </c>
      <c r="Q51" s="12"/>
      <c r="R51" s="13" t="s">
        <v>130</v>
      </c>
      <c r="S51" s="13" t="s">
        <v>1737</v>
      </c>
      <c r="T51" s="12" t="s">
        <v>33</v>
      </c>
      <c r="U51" s="12" t="s">
        <v>33</v>
      </c>
      <c r="V51" s="12" t="s">
        <v>1470</v>
      </c>
      <c r="W51" s="12" t="s">
        <v>111</v>
      </c>
      <c r="X51" s="12" t="s">
        <v>1544</v>
      </c>
      <c r="Y51" s="17" t="s">
        <v>1847</v>
      </c>
    </row>
    <row r="52" spans="1:25" ht="27" customHeight="1" x14ac:dyDescent="0.2">
      <c r="A52" s="6">
        <v>51</v>
      </c>
      <c r="B52" s="7" t="s">
        <v>1848</v>
      </c>
      <c r="C52" s="7" t="s">
        <v>1849</v>
      </c>
      <c r="D52" s="8" t="s">
        <v>59</v>
      </c>
      <c r="E52" s="7" t="s">
        <v>1850</v>
      </c>
      <c r="F52" s="7">
        <v>50</v>
      </c>
      <c r="G52" s="7">
        <v>300</v>
      </c>
      <c r="H52" s="7">
        <v>1800</v>
      </c>
      <c r="I52" s="86">
        <v>5</v>
      </c>
      <c r="J52" s="7" t="s">
        <v>1851</v>
      </c>
      <c r="K52" s="7"/>
      <c r="L52" s="7"/>
      <c r="M52" s="9" t="b">
        <v>1</v>
      </c>
      <c r="N52" s="9" t="b">
        <v>0</v>
      </c>
      <c r="O52" s="7">
        <v>0</v>
      </c>
      <c r="P52" s="7" t="s">
        <v>180</v>
      </c>
      <c r="Q52" s="7" t="s">
        <v>603</v>
      </c>
      <c r="R52" s="8" t="s">
        <v>72</v>
      </c>
      <c r="S52" s="8" t="s">
        <v>1737</v>
      </c>
      <c r="T52" s="7" t="s">
        <v>33</v>
      </c>
      <c r="U52" s="7" t="s">
        <v>33</v>
      </c>
      <c r="V52" s="7" t="s">
        <v>1470</v>
      </c>
      <c r="W52" s="7" t="s">
        <v>11</v>
      </c>
      <c r="X52" s="7" t="s">
        <v>1544</v>
      </c>
      <c r="Y52" s="18" t="s">
        <v>1852</v>
      </c>
    </row>
    <row r="53" spans="1:25" ht="27" customHeight="1" x14ac:dyDescent="0.2">
      <c r="A53" s="11">
        <v>52</v>
      </c>
      <c r="B53" s="12" t="s">
        <v>1853</v>
      </c>
      <c r="C53" s="12" t="s">
        <v>1854</v>
      </c>
      <c r="D53" s="13" t="s">
        <v>49</v>
      </c>
      <c r="E53" s="12" t="s">
        <v>1855</v>
      </c>
      <c r="F53" s="12">
        <v>175</v>
      </c>
      <c r="G53" s="12">
        <v>300</v>
      </c>
      <c r="H53" s="12">
        <v>6</v>
      </c>
      <c r="I53" s="87">
        <v>25</v>
      </c>
      <c r="J53" s="12" t="s">
        <v>1856</v>
      </c>
      <c r="K53" s="12"/>
      <c r="L53" s="12" t="s">
        <v>1857</v>
      </c>
      <c r="M53" s="14" t="b">
        <v>0</v>
      </c>
      <c r="N53" s="14" t="b">
        <v>0</v>
      </c>
      <c r="O53" s="12">
        <v>0</v>
      </c>
      <c r="P53" s="12" t="s">
        <v>180</v>
      </c>
      <c r="Q53" s="12" t="s">
        <v>1010</v>
      </c>
      <c r="R53" s="13" t="s">
        <v>52</v>
      </c>
      <c r="S53" s="13" t="s">
        <v>1737</v>
      </c>
      <c r="T53" s="12" t="s">
        <v>33</v>
      </c>
      <c r="U53" s="12" t="s">
        <v>33</v>
      </c>
      <c r="V53" s="12" t="s">
        <v>1470</v>
      </c>
      <c r="W53" s="12" t="s">
        <v>54</v>
      </c>
      <c r="X53" s="12" t="s">
        <v>1544</v>
      </c>
      <c r="Y53" s="17" t="s">
        <v>1858</v>
      </c>
    </row>
    <row r="54" spans="1:25" ht="27" customHeight="1" x14ac:dyDescent="0.2">
      <c r="A54" s="6">
        <v>53</v>
      </c>
      <c r="B54" s="7" t="s">
        <v>1859</v>
      </c>
      <c r="C54" s="7" t="s">
        <v>1860</v>
      </c>
      <c r="D54" s="8" t="s">
        <v>49</v>
      </c>
      <c r="E54" s="7" t="s">
        <v>1861</v>
      </c>
      <c r="F54" s="7">
        <v>75</v>
      </c>
      <c r="G54" s="7">
        <v>4000</v>
      </c>
      <c r="H54" s="7">
        <v>0</v>
      </c>
      <c r="I54" s="86">
        <v>20</v>
      </c>
      <c r="J54" s="7" t="s">
        <v>1862</v>
      </c>
      <c r="K54" s="7"/>
      <c r="L54" s="7" t="s">
        <v>1863</v>
      </c>
      <c r="M54" s="9" t="b">
        <v>0</v>
      </c>
      <c r="N54" s="9" t="b">
        <v>0</v>
      </c>
      <c r="O54" s="7">
        <v>0</v>
      </c>
      <c r="P54" s="7" t="s">
        <v>122</v>
      </c>
      <c r="Q54" s="7" t="s">
        <v>344</v>
      </c>
      <c r="R54" s="8" t="s">
        <v>72</v>
      </c>
      <c r="S54" s="8" t="s">
        <v>1737</v>
      </c>
      <c r="T54" s="7" t="s">
        <v>33</v>
      </c>
      <c r="U54" s="7" t="s">
        <v>33</v>
      </c>
      <c r="V54" s="7" t="s">
        <v>1470</v>
      </c>
      <c r="W54" s="7" t="s">
        <v>54</v>
      </c>
      <c r="X54" s="7" t="s">
        <v>1544</v>
      </c>
      <c r="Y54" s="18" t="s">
        <v>1864</v>
      </c>
    </row>
    <row r="55" spans="1:25" ht="27" customHeight="1" x14ac:dyDescent="0.2">
      <c r="A55" s="11">
        <v>54</v>
      </c>
      <c r="B55" s="12" t="s">
        <v>1865</v>
      </c>
      <c r="C55" s="12" t="s">
        <v>1866</v>
      </c>
      <c r="D55" s="13" t="s">
        <v>78</v>
      </c>
      <c r="E55" s="12" t="s">
        <v>1867</v>
      </c>
      <c r="F55" s="12">
        <v>175</v>
      </c>
      <c r="G55" s="12">
        <v>300</v>
      </c>
      <c r="H55" s="12">
        <v>50</v>
      </c>
      <c r="I55" s="87">
        <v>15</v>
      </c>
      <c r="J55" s="12" t="s">
        <v>1868</v>
      </c>
      <c r="K55" s="12"/>
      <c r="L55" s="12" t="s">
        <v>1869</v>
      </c>
      <c r="M55" s="14" t="b">
        <v>0</v>
      </c>
      <c r="N55" s="14" t="b">
        <v>0</v>
      </c>
      <c r="O55" s="12">
        <v>0</v>
      </c>
      <c r="P55" s="12" t="s">
        <v>666</v>
      </c>
      <c r="Q55" s="12" t="s">
        <v>1870</v>
      </c>
      <c r="R55" s="13" t="s">
        <v>366</v>
      </c>
      <c r="S55" s="13" t="s">
        <v>1737</v>
      </c>
      <c r="T55" s="12" t="s">
        <v>33</v>
      </c>
      <c r="U55" s="12" t="s">
        <v>33</v>
      </c>
      <c r="V55" s="12" t="s">
        <v>1470</v>
      </c>
      <c r="W55" s="12" t="s">
        <v>35</v>
      </c>
      <c r="X55" s="12" t="s">
        <v>1544</v>
      </c>
      <c r="Y55" s="17" t="s">
        <v>1871</v>
      </c>
    </row>
    <row r="56" spans="1:25" ht="27" customHeight="1" x14ac:dyDescent="0.2">
      <c r="A56" s="6">
        <v>55</v>
      </c>
      <c r="B56" s="7" t="s">
        <v>1872</v>
      </c>
      <c r="C56" s="7" t="s">
        <v>1873</v>
      </c>
      <c r="D56" s="8" t="s">
        <v>68</v>
      </c>
      <c r="E56" s="7" t="s">
        <v>1874</v>
      </c>
      <c r="F56" s="7">
        <v>425</v>
      </c>
      <c r="G56" s="7">
        <v>300</v>
      </c>
      <c r="H56" s="7">
        <v>500</v>
      </c>
      <c r="I56" s="86">
        <v>15</v>
      </c>
      <c r="J56" s="7" t="s">
        <v>1875</v>
      </c>
      <c r="K56" s="7"/>
      <c r="L56" s="7"/>
      <c r="M56" s="9" t="b">
        <v>0</v>
      </c>
      <c r="N56" s="9" t="b">
        <v>0</v>
      </c>
      <c r="O56" s="7">
        <v>0</v>
      </c>
      <c r="P56" s="7" t="s">
        <v>180</v>
      </c>
      <c r="Q56" s="7" t="s">
        <v>226</v>
      </c>
      <c r="R56" s="8" t="s">
        <v>62</v>
      </c>
      <c r="S56" s="8" t="s">
        <v>1737</v>
      </c>
      <c r="T56" s="7" t="s">
        <v>33</v>
      </c>
      <c r="U56" s="7">
        <v>100</v>
      </c>
      <c r="V56" s="7" t="s">
        <v>1876</v>
      </c>
      <c r="W56" s="7" t="s">
        <v>35</v>
      </c>
      <c r="X56" s="7" t="s">
        <v>1544</v>
      </c>
      <c r="Y56" s="18" t="s">
        <v>1877</v>
      </c>
    </row>
    <row r="57" spans="1:25" ht="27" customHeight="1" x14ac:dyDescent="0.2">
      <c r="A57" s="11">
        <v>56</v>
      </c>
      <c r="B57" s="12" t="s">
        <v>1878</v>
      </c>
      <c r="C57" s="12" t="s">
        <v>1879</v>
      </c>
      <c r="D57" s="13" t="s">
        <v>356</v>
      </c>
      <c r="E57" s="12" t="s">
        <v>1880</v>
      </c>
      <c r="F57" s="12">
        <v>250</v>
      </c>
      <c r="G57" s="12">
        <v>300</v>
      </c>
      <c r="H57" s="12">
        <v>0</v>
      </c>
      <c r="I57" s="86">
        <v>7.5</v>
      </c>
      <c r="J57" s="12" t="s">
        <v>1881</v>
      </c>
      <c r="K57" s="12"/>
      <c r="L57" s="12"/>
      <c r="M57" s="14" t="b">
        <v>0</v>
      </c>
      <c r="N57" s="14" t="b">
        <v>0</v>
      </c>
      <c r="O57" s="12">
        <v>0</v>
      </c>
      <c r="P57" s="12" t="s">
        <v>180</v>
      </c>
      <c r="Q57" s="12" t="s">
        <v>157</v>
      </c>
      <c r="R57" s="13" t="s">
        <v>270</v>
      </c>
      <c r="S57" s="13" t="s">
        <v>1737</v>
      </c>
      <c r="T57" s="12" t="s">
        <v>33</v>
      </c>
      <c r="U57" s="12" t="s">
        <v>33</v>
      </c>
      <c r="V57" s="12" t="s">
        <v>1470</v>
      </c>
      <c r="W57" s="12" t="s">
        <v>35</v>
      </c>
      <c r="X57" s="12" t="s">
        <v>1544</v>
      </c>
      <c r="Y57" s="17" t="s">
        <v>1882</v>
      </c>
    </row>
    <row r="58" spans="1:25" ht="27" customHeight="1" x14ac:dyDescent="0.2">
      <c r="A58" s="6">
        <v>57</v>
      </c>
      <c r="B58" s="7" t="s">
        <v>1883</v>
      </c>
      <c r="C58" s="7" t="s">
        <v>1884</v>
      </c>
      <c r="D58" s="8" t="s">
        <v>356</v>
      </c>
      <c r="E58" s="7" t="s">
        <v>1885</v>
      </c>
      <c r="F58" s="7">
        <v>125</v>
      </c>
      <c r="G58" s="7">
        <v>300</v>
      </c>
      <c r="H58" s="7">
        <v>0</v>
      </c>
      <c r="I58" s="86">
        <v>10</v>
      </c>
      <c r="J58" s="7" t="s">
        <v>1886</v>
      </c>
      <c r="K58" s="7" t="s">
        <v>1887</v>
      </c>
      <c r="L58" s="7"/>
      <c r="M58" s="9" t="b">
        <v>0</v>
      </c>
      <c r="N58" s="9" t="b">
        <v>0</v>
      </c>
      <c r="O58" s="7">
        <v>100</v>
      </c>
      <c r="P58" s="7" t="s">
        <v>268</v>
      </c>
      <c r="Q58" s="7" t="s">
        <v>1888</v>
      </c>
      <c r="R58" s="8" t="s">
        <v>43</v>
      </c>
      <c r="S58" s="8" t="s">
        <v>1737</v>
      </c>
      <c r="T58" s="7" t="s">
        <v>33</v>
      </c>
      <c r="U58" s="7" t="s">
        <v>33</v>
      </c>
      <c r="V58" s="7" t="s">
        <v>1470</v>
      </c>
      <c r="W58" s="7" t="s">
        <v>45</v>
      </c>
      <c r="X58" s="7" t="s">
        <v>1544</v>
      </c>
      <c r="Y58" s="18" t="s">
        <v>1889</v>
      </c>
    </row>
    <row r="59" spans="1:25" ht="27" customHeight="1" x14ac:dyDescent="0.2">
      <c r="A59" s="11">
        <v>58</v>
      </c>
      <c r="B59" s="12" t="s">
        <v>1890</v>
      </c>
      <c r="C59" s="12" t="s">
        <v>1891</v>
      </c>
      <c r="D59" s="13" t="s">
        <v>86</v>
      </c>
      <c r="E59" s="12" t="s">
        <v>1892</v>
      </c>
      <c r="F59" s="12">
        <v>175</v>
      </c>
      <c r="G59" s="12">
        <v>300</v>
      </c>
      <c r="H59" s="12">
        <v>240</v>
      </c>
      <c r="I59" s="87">
        <v>5</v>
      </c>
      <c r="J59" s="12" t="s">
        <v>1893</v>
      </c>
      <c r="K59" s="12"/>
      <c r="L59" s="12"/>
      <c r="M59" s="14" t="b">
        <v>0</v>
      </c>
      <c r="N59" s="14" t="b">
        <v>0</v>
      </c>
      <c r="O59" s="12">
        <v>0</v>
      </c>
      <c r="P59" s="12" t="s">
        <v>180</v>
      </c>
      <c r="Q59" s="12" t="s">
        <v>1894</v>
      </c>
      <c r="R59" s="13" t="s">
        <v>72</v>
      </c>
      <c r="S59" s="13" t="s">
        <v>1737</v>
      </c>
      <c r="T59" s="12" t="s">
        <v>33</v>
      </c>
      <c r="U59" s="12" t="s">
        <v>33</v>
      </c>
      <c r="V59" s="12" t="s">
        <v>1470</v>
      </c>
      <c r="W59" s="12" t="s">
        <v>35</v>
      </c>
      <c r="X59" s="12" t="s">
        <v>1544</v>
      </c>
      <c r="Y59" s="17" t="s">
        <v>1895</v>
      </c>
    </row>
    <row r="60" spans="1:25" ht="27" customHeight="1" x14ac:dyDescent="0.2">
      <c r="A60" s="6">
        <v>59</v>
      </c>
      <c r="B60" s="7" t="s">
        <v>1896</v>
      </c>
      <c r="C60" s="7" t="s">
        <v>1896</v>
      </c>
      <c r="D60" s="8" t="s">
        <v>105</v>
      </c>
      <c r="E60" s="7" t="s">
        <v>1897</v>
      </c>
      <c r="F60" s="7">
        <v>325</v>
      </c>
      <c r="G60" s="7">
        <v>300</v>
      </c>
      <c r="H60" s="7">
        <v>200</v>
      </c>
      <c r="I60" s="86">
        <v>7.5</v>
      </c>
      <c r="J60" s="7" t="s">
        <v>1898</v>
      </c>
      <c r="K60" s="7" t="s">
        <v>1899</v>
      </c>
      <c r="L60" s="7" t="s">
        <v>1900</v>
      </c>
      <c r="M60" s="9" t="b">
        <v>0</v>
      </c>
      <c r="N60" s="9" t="b">
        <v>0</v>
      </c>
      <c r="O60" s="7">
        <v>0</v>
      </c>
      <c r="P60" s="7" t="s">
        <v>180</v>
      </c>
      <c r="Q60" s="7" t="s">
        <v>226</v>
      </c>
      <c r="R60" s="8" t="s">
        <v>72</v>
      </c>
      <c r="S60" s="8" t="s">
        <v>1737</v>
      </c>
      <c r="T60" s="7" t="s">
        <v>33</v>
      </c>
      <c r="U60" s="7" t="s">
        <v>33</v>
      </c>
      <c r="V60" s="7" t="s">
        <v>1470</v>
      </c>
      <c r="W60" s="7" t="s">
        <v>111</v>
      </c>
      <c r="X60" s="7" t="s">
        <v>1544</v>
      </c>
      <c r="Y60" s="18" t="s">
        <v>1901</v>
      </c>
    </row>
    <row r="61" spans="1:25" ht="27" customHeight="1" x14ac:dyDescent="0.2">
      <c r="A61" s="11">
        <v>60</v>
      </c>
      <c r="B61" s="12" t="s">
        <v>1902</v>
      </c>
      <c r="C61" s="12" t="s">
        <v>1903</v>
      </c>
      <c r="D61" s="13" t="s">
        <v>78</v>
      </c>
      <c r="E61" s="12" t="s">
        <v>1904</v>
      </c>
      <c r="F61" s="12">
        <v>200</v>
      </c>
      <c r="G61" s="12">
        <v>300</v>
      </c>
      <c r="H61" s="12">
        <v>60</v>
      </c>
      <c r="I61" s="87">
        <v>5</v>
      </c>
      <c r="J61" s="12" t="s">
        <v>1905</v>
      </c>
      <c r="K61" s="12"/>
      <c r="L61" s="12" t="s">
        <v>1906</v>
      </c>
      <c r="M61" s="14" t="b">
        <v>0</v>
      </c>
      <c r="N61" s="14" t="b">
        <v>0</v>
      </c>
      <c r="O61" s="12">
        <v>0</v>
      </c>
      <c r="P61" s="12" t="s">
        <v>268</v>
      </c>
      <c r="Q61" s="12" t="s">
        <v>1907</v>
      </c>
      <c r="R61" s="13" t="s">
        <v>130</v>
      </c>
      <c r="S61" s="13" t="s">
        <v>1737</v>
      </c>
      <c r="T61" s="12" t="s">
        <v>33</v>
      </c>
      <c r="U61" s="12" t="s">
        <v>33</v>
      </c>
      <c r="V61" s="12" t="s">
        <v>1470</v>
      </c>
      <c r="W61" s="12" t="s">
        <v>35</v>
      </c>
      <c r="X61" s="12" t="s">
        <v>1544</v>
      </c>
      <c r="Y61" s="17" t="s">
        <v>1908</v>
      </c>
    </row>
    <row r="62" spans="1:25" ht="27" customHeight="1" x14ac:dyDescent="0.2">
      <c r="A62" s="6">
        <v>61</v>
      </c>
      <c r="B62" s="7" t="s">
        <v>1909</v>
      </c>
      <c r="C62" s="7" t="s">
        <v>1910</v>
      </c>
      <c r="D62" s="8" t="s">
        <v>78</v>
      </c>
      <c r="E62" s="7" t="s">
        <v>1911</v>
      </c>
      <c r="F62" s="7">
        <v>225</v>
      </c>
      <c r="G62" s="7">
        <v>300</v>
      </c>
      <c r="H62" s="7">
        <v>60</v>
      </c>
      <c r="I62" s="86">
        <v>7.5</v>
      </c>
      <c r="J62" s="7" t="s">
        <v>1912</v>
      </c>
      <c r="K62" s="7"/>
      <c r="L62" s="7" t="s">
        <v>1913</v>
      </c>
      <c r="M62" s="9" t="b">
        <v>0</v>
      </c>
      <c r="N62" s="9" t="b">
        <v>0</v>
      </c>
      <c r="O62" s="7">
        <v>0</v>
      </c>
      <c r="P62" s="7" t="s">
        <v>180</v>
      </c>
      <c r="Q62" s="7"/>
      <c r="R62" s="8" t="s">
        <v>740</v>
      </c>
      <c r="S62" s="8" t="s">
        <v>1737</v>
      </c>
      <c r="T62" s="7" t="s">
        <v>33</v>
      </c>
      <c r="U62" s="7" t="s">
        <v>33</v>
      </c>
      <c r="V62" s="7" t="s">
        <v>1470</v>
      </c>
      <c r="W62" s="7" t="s">
        <v>35</v>
      </c>
      <c r="X62" s="7" t="s">
        <v>1544</v>
      </c>
      <c r="Y62" s="18" t="s">
        <v>1914</v>
      </c>
    </row>
    <row r="63" spans="1:25" ht="27" customHeight="1" x14ac:dyDescent="0.2">
      <c r="A63" s="11">
        <v>62</v>
      </c>
      <c r="B63" s="12" t="s">
        <v>1915</v>
      </c>
      <c r="C63" s="12" t="s">
        <v>1916</v>
      </c>
      <c r="D63" s="13" t="s">
        <v>135</v>
      </c>
      <c r="E63" s="12" t="s">
        <v>1917</v>
      </c>
      <c r="F63" s="12">
        <v>150</v>
      </c>
      <c r="G63" s="12">
        <v>300</v>
      </c>
      <c r="H63" s="12">
        <v>50</v>
      </c>
      <c r="I63" s="87">
        <v>5</v>
      </c>
      <c r="J63" s="12" t="s">
        <v>1918</v>
      </c>
      <c r="K63" s="12"/>
      <c r="L63" s="12"/>
      <c r="M63" s="14" t="b">
        <v>0</v>
      </c>
      <c r="N63" s="14" t="b">
        <v>0</v>
      </c>
      <c r="O63" s="12">
        <v>0</v>
      </c>
      <c r="P63" s="12" t="s">
        <v>180</v>
      </c>
      <c r="Q63" s="12" t="s">
        <v>1919</v>
      </c>
      <c r="R63" s="13" t="s">
        <v>130</v>
      </c>
      <c r="S63" s="13" t="s">
        <v>1737</v>
      </c>
      <c r="T63" s="12" t="s">
        <v>33</v>
      </c>
      <c r="U63" s="12" t="s">
        <v>33</v>
      </c>
      <c r="V63" s="12" t="s">
        <v>1470</v>
      </c>
      <c r="W63" s="12" t="s">
        <v>35</v>
      </c>
      <c r="X63" s="12" t="s">
        <v>1544</v>
      </c>
      <c r="Y63" s="17" t="s">
        <v>1920</v>
      </c>
    </row>
    <row r="64" spans="1:25" ht="27" customHeight="1" x14ac:dyDescent="0.2">
      <c r="A64" s="6">
        <v>63</v>
      </c>
      <c r="B64" s="7" t="s">
        <v>1921</v>
      </c>
      <c r="C64" s="7" t="s">
        <v>1922</v>
      </c>
      <c r="D64" s="8" t="s">
        <v>27</v>
      </c>
      <c r="E64" s="7" t="s">
        <v>1923</v>
      </c>
      <c r="F64" s="7">
        <v>225</v>
      </c>
      <c r="G64" s="7">
        <v>300</v>
      </c>
      <c r="H64" s="7">
        <v>35</v>
      </c>
      <c r="I64" s="86">
        <v>7.5</v>
      </c>
      <c r="J64" s="7" t="s">
        <v>1924</v>
      </c>
      <c r="K64" s="7" t="s">
        <v>1925</v>
      </c>
      <c r="L64" s="7"/>
      <c r="M64" s="9" t="b">
        <v>0</v>
      </c>
      <c r="N64" s="9" t="b">
        <v>0</v>
      </c>
      <c r="O64" s="7">
        <v>0</v>
      </c>
      <c r="P64" s="7" t="s">
        <v>666</v>
      </c>
      <c r="Q64" s="7" t="s">
        <v>226</v>
      </c>
      <c r="R64" s="8" t="s">
        <v>130</v>
      </c>
      <c r="S64" s="8" t="s">
        <v>1737</v>
      </c>
      <c r="T64" s="7" t="s">
        <v>33</v>
      </c>
      <c r="U64" s="7" t="s">
        <v>33</v>
      </c>
      <c r="V64" s="7" t="s">
        <v>1470</v>
      </c>
      <c r="W64" s="7" t="s">
        <v>35</v>
      </c>
      <c r="X64" s="7" t="s">
        <v>1544</v>
      </c>
      <c r="Y64" s="18" t="s">
        <v>1926</v>
      </c>
    </row>
    <row r="65" spans="1:25" ht="27" customHeight="1" x14ac:dyDescent="0.2">
      <c r="A65" s="11">
        <v>64</v>
      </c>
      <c r="B65" s="12" t="s">
        <v>1927</v>
      </c>
      <c r="C65" s="12" t="s">
        <v>1928</v>
      </c>
      <c r="D65" s="13" t="s">
        <v>27</v>
      </c>
      <c r="E65" s="12" t="s">
        <v>1929</v>
      </c>
      <c r="F65" s="12">
        <v>375</v>
      </c>
      <c r="G65" s="12">
        <v>300</v>
      </c>
      <c r="H65" s="12">
        <v>20</v>
      </c>
      <c r="I65" s="87">
        <v>5</v>
      </c>
      <c r="J65" s="12" t="s">
        <v>1930</v>
      </c>
      <c r="K65" s="12"/>
      <c r="L65" s="12"/>
      <c r="M65" s="14" t="b">
        <v>0</v>
      </c>
      <c r="N65" s="14" t="b">
        <v>0</v>
      </c>
      <c r="O65" s="12">
        <v>0</v>
      </c>
      <c r="P65" s="12" t="s">
        <v>666</v>
      </c>
      <c r="Q65" s="12"/>
      <c r="R65" s="13" t="s">
        <v>31</v>
      </c>
      <c r="S65" s="13" t="s">
        <v>1737</v>
      </c>
      <c r="T65" s="12" t="s">
        <v>33</v>
      </c>
      <c r="U65" s="12" t="s">
        <v>33</v>
      </c>
      <c r="V65" s="12" t="s">
        <v>1470</v>
      </c>
      <c r="W65" s="12" t="s">
        <v>35</v>
      </c>
      <c r="X65" s="12" t="s">
        <v>1931</v>
      </c>
      <c r="Y65" s="17" t="s">
        <v>1932</v>
      </c>
    </row>
    <row r="66" spans="1:25" ht="27" customHeight="1" x14ac:dyDescent="0.2">
      <c r="A66" s="6">
        <v>65</v>
      </c>
      <c r="B66" s="7" t="s">
        <v>1933</v>
      </c>
      <c r="C66" s="7" t="s">
        <v>1934</v>
      </c>
      <c r="D66" s="8" t="s">
        <v>135</v>
      </c>
      <c r="E66" s="7" t="s">
        <v>1935</v>
      </c>
      <c r="F66" s="7">
        <v>255</v>
      </c>
      <c r="G66" s="7">
        <v>300</v>
      </c>
      <c r="H66" s="7">
        <v>15</v>
      </c>
      <c r="I66" s="86">
        <v>5</v>
      </c>
      <c r="J66" s="7" t="s">
        <v>1936</v>
      </c>
      <c r="K66" s="7" t="s">
        <v>1840</v>
      </c>
      <c r="L66" s="7" t="s">
        <v>1937</v>
      </c>
      <c r="M66" s="9" t="b">
        <v>0</v>
      </c>
      <c r="N66" s="9" t="b">
        <v>0</v>
      </c>
      <c r="O66" s="7">
        <v>0</v>
      </c>
      <c r="P66" s="7" t="s">
        <v>268</v>
      </c>
      <c r="Q66" s="7"/>
      <c r="R66" s="8" t="s">
        <v>43</v>
      </c>
      <c r="S66" s="8" t="s">
        <v>1737</v>
      </c>
      <c r="T66" s="7" t="s">
        <v>33</v>
      </c>
      <c r="U66" s="7" t="s">
        <v>33</v>
      </c>
      <c r="V66" s="7" t="s">
        <v>1470</v>
      </c>
      <c r="W66" s="7" t="s">
        <v>111</v>
      </c>
      <c r="X66" s="7" t="s">
        <v>1544</v>
      </c>
      <c r="Y66" s="18" t="s">
        <v>1938</v>
      </c>
    </row>
    <row r="67" spans="1:25" ht="27" customHeight="1" x14ac:dyDescent="0.2">
      <c r="A67" s="11">
        <v>66</v>
      </c>
      <c r="B67" s="12" t="s">
        <v>1939</v>
      </c>
      <c r="C67" s="12" t="s">
        <v>1940</v>
      </c>
      <c r="D67" s="13" t="s">
        <v>135</v>
      </c>
      <c r="E67" s="12" t="s">
        <v>1941</v>
      </c>
      <c r="F67" s="12">
        <v>450</v>
      </c>
      <c r="G67" s="12">
        <v>300</v>
      </c>
      <c r="H67" s="12">
        <v>100</v>
      </c>
      <c r="I67" s="86">
        <v>7.5</v>
      </c>
      <c r="J67" s="12" t="s">
        <v>1942</v>
      </c>
      <c r="K67" s="12"/>
      <c r="L67" s="12" t="s">
        <v>1943</v>
      </c>
      <c r="M67" s="14" t="b">
        <v>0</v>
      </c>
      <c r="N67" s="14" t="b">
        <v>0</v>
      </c>
      <c r="O67" s="12">
        <v>0</v>
      </c>
      <c r="P67" s="12" t="s">
        <v>666</v>
      </c>
      <c r="Q67" s="12" t="s">
        <v>226</v>
      </c>
      <c r="R67" s="13" t="s">
        <v>43</v>
      </c>
      <c r="S67" s="13" t="s">
        <v>1737</v>
      </c>
      <c r="T67" s="12" t="s">
        <v>33</v>
      </c>
      <c r="U67" s="12" t="s">
        <v>33</v>
      </c>
      <c r="V67" s="12" t="s">
        <v>1470</v>
      </c>
      <c r="W67" s="12" t="s">
        <v>35</v>
      </c>
      <c r="X67" s="12" t="s">
        <v>1544</v>
      </c>
      <c r="Y67" s="17" t="s">
        <v>1944</v>
      </c>
    </row>
    <row r="68" spans="1:25" ht="27" customHeight="1" x14ac:dyDescent="0.2">
      <c r="A68" s="6">
        <v>67</v>
      </c>
      <c r="B68" s="7" t="s">
        <v>1945</v>
      </c>
      <c r="C68" s="7" t="s">
        <v>1946</v>
      </c>
      <c r="D68" s="8" t="s">
        <v>78</v>
      </c>
      <c r="E68" s="7" t="s">
        <v>1947</v>
      </c>
      <c r="F68" s="7">
        <v>325</v>
      </c>
      <c r="G68" s="7">
        <v>300</v>
      </c>
      <c r="H68" s="7">
        <v>45</v>
      </c>
      <c r="I68" s="86">
        <v>7.5</v>
      </c>
      <c r="J68" s="7" t="s">
        <v>1948</v>
      </c>
      <c r="K68" s="7"/>
      <c r="L68" s="7" t="s">
        <v>1949</v>
      </c>
      <c r="M68" s="9" t="b">
        <v>0</v>
      </c>
      <c r="N68" s="9" t="b">
        <v>0</v>
      </c>
      <c r="O68" s="7">
        <v>0</v>
      </c>
      <c r="P68" s="7" t="s">
        <v>666</v>
      </c>
      <c r="Q68" s="7" t="s">
        <v>476</v>
      </c>
      <c r="R68" s="8" t="s">
        <v>72</v>
      </c>
      <c r="S68" s="8" t="s">
        <v>1737</v>
      </c>
      <c r="T68" s="7" t="s">
        <v>33</v>
      </c>
      <c r="U68" s="7" t="s">
        <v>33</v>
      </c>
      <c r="V68" s="7" t="s">
        <v>1470</v>
      </c>
      <c r="W68" s="7" t="s">
        <v>35</v>
      </c>
      <c r="X68" s="7" t="s">
        <v>1580</v>
      </c>
      <c r="Y68" s="18" t="s">
        <v>1950</v>
      </c>
    </row>
    <row r="69" spans="1:25" ht="27" customHeight="1" x14ac:dyDescent="0.2">
      <c r="A69" s="11">
        <v>68</v>
      </c>
      <c r="B69" s="12" t="s">
        <v>1951</v>
      </c>
      <c r="C69" s="12" t="s">
        <v>1952</v>
      </c>
      <c r="D69" s="13" t="s">
        <v>68</v>
      </c>
      <c r="E69" s="12" t="s">
        <v>1953</v>
      </c>
      <c r="F69" s="12">
        <v>500</v>
      </c>
      <c r="G69" s="12">
        <v>300</v>
      </c>
      <c r="H69" s="12">
        <v>1200</v>
      </c>
      <c r="I69" s="87">
        <v>10</v>
      </c>
      <c r="J69" s="12" t="s">
        <v>1954</v>
      </c>
      <c r="K69" s="12" t="s">
        <v>1955</v>
      </c>
      <c r="L69" s="12" t="s">
        <v>1956</v>
      </c>
      <c r="M69" s="14" t="b">
        <v>0</v>
      </c>
      <c r="N69" s="14" t="b">
        <v>0</v>
      </c>
      <c r="O69" s="12">
        <v>0</v>
      </c>
      <c r="P69" s="12" t="s">
        <v>666</v>
      </c>
      <c r="Q69" s="12" t="s">
        <v>1957</v>
      </c>
      <c r="R69" s="13" t="s">
        <v>270</v>
      </c>
      <c r="S69" s="13" t="s">
        <v>1737</v>
      </c>
      <c r="T69" s="12" t="s">
        <v>33</v>
      </c>
      <c r="U69" s="12" t="s">
        <v>33</v>
      </c>
      <c r="V69" s="12" t="s">
        <v>1470</v>
      </c>
      <c r="W69" s="12" t="s">
        <v>35</v>
      </c>
      <c r="X69" s="12" t="s">
        <v>1580</v>
      </c>
      <c r="Y69" s="17" t="s">
        <v>1958</v>
      </c>
    </row>
    <row r="70" spans="1:25" ht="27" customHeight="1" x14ac:dyDescent="0.2">
      <c r="A70" s="6">
        <v>69</v>
      </c>
      <c r="B70" s="7" t="s">
        <v>1959</v>
      </c>
      <c r="C70" s="7" t="s">
        <v>1960</v>
      </c>
      <c r="D70" s="8" t="s">
        <v>49</v>
      </c>
      <c r="E70" s="7" t="s">
        <v>1961</v>
      </c>
      <c r="F70" s="7">
        <v>100</v>
      </c>
      <c r="G70" s="7">
        <v>4000</v>
      </c>
      <c r="H70" s="7">
        <v>30</v>
      </c>
      <c r="I70" s="86">
        <v>20</v>
      </c>
      <c r="J70" s="7" t="s">
        <v>1962</v>
      </c>
      <c r="K70" s="7" t="s">
        <v>1840</v>
      </c>
      <c r="L70" s="7"/>
      <c r="M70" s="9" t="b">
        <v>0</v>
      </c>
      <c r="N70" s="9" t="b">
        <v>0</v>
      </c>
      <c r="O70" s="7">
        <v>0</v>
      </c>
      <c r="P70" s="7" t="s">
        <v>666</v>
      </c>
      <c r="Q70" s="7" t="s">
        <v>157</v>
      </c>
      <c r="R70" s="8" t="s">
        <v>130</v>
      </c>
      <c r="S70" s="8" t="s">
        <v>1737</v>
      </c>
      <c r="T70" s="7" t="s">
        <v>33</v>
      </c>
      <c r="U70" s="7" t="s">
        <v>33</v>
      </c>
      <c r="V70" s="7" t="s">
        <v>1470</v>
      </c>
      <c r="W70" s="7" t="s">
        <v>54</v>
      </c>
      <c r="X70" s="7" t="s">
        <v>1544</v>
      </c>
      <c r="Y70" s="18" t="s">
        <v>1963</v>
      </c>
    </row>
    <row r="71" spans="1:25" ht="27" customHeight="1" x14ac:dyDescent="0.2">
      <c r="A71" s="11">
        <v>70</v>
      </c>
      <c r="B71" s="12" t="s">
        <v>1964</v>
      </c>
      <c r="C71" s="12" t="s">
        <v>1965</v>
      </c>
      <c r="D71" s="13" t="s">
        <v>86</v>
      </c>
      <c r="E71" s="12" t="s">
        <v>1966</v>
      </c>
      <c r="F71" s="12">
        <v>150</v>
      </c>
      <c r="G71" s="12">
        <v>300</v>
      </c>
      <c r="H71" s="12">
        <v>30</v>
      </c>
      <c r="I71" s="87">
        <v>15</v>
      </c>
      <c r="J71" s="12" t="s">
        <v>1967</v>
      </c>
      <c r="K71" s="12"/>
      <c r="L71" s="12" t="s">
        <v>1968</v>
      </c>
      <c r="M71" s="14" t="b">
        <v>0</v>
      </c>
      <c r="N71" s="14" t="b">
        <v>0</v>
      </c>
      <c r="O71" s="12">
        <v>0</v>
      </c>
      <c r="P71" s="12" t="s">
        <v>666</v>
      </c>
      <c r="Q71" s="12" t="s">
        <v>1969</v>
      </c>
      <c r="R71" s="13" t="s">
        <v>187</v>
      </c>
      <c r="S71" s="13" t="s">
        <v>1737</v>
      </c>
      <c r="T71" s="12" t="s">
        <v>33</v>
      </c>
      <c r="U71" s="12" t="s">
        <v>33</v>
      </c>
      <c r="V71" s="12" t="s">
        <v>1470</v>
      </c>
      <c r="W71" s="12" t="s">
        <v>11</v>
      </c>
      <c r="X71" s="12" t="s">
        <v>1544</v>
      </c>
      <c r="Y71" s="17" t="s">
        <v>1970</v>
      </c>
    </row>
    <row r="72" spans="1:25" ht="27" customHeight="1" x14ac:dyDescent="0.2">
      <c r="A72" s="6">
        <v>71</v>
      </c>
      <c r="B72" s="7" t="s">
        <v>1971</v>
      </c>
      <c r="C72" s="7" t="s">
        <v>1972</v>
      </c>
      <c r="D72" s="8" t="s">
        <v>27</v>
      </c>
      <c r="E72" s="7" t="s">
        <v>1973</v>
      </c>
      <c r="F72" s="7">
        <v>225</v>
      </c>
      <c r="G72" s="7">
        <v>300</v>
      </c>
      <c r="H72" s="7">
        <v>30</v>
      </c>
      <c r="I72" s="86">
        <v>10</v>
      </c>
      <c r="J72" s="7" t="s">
        <v>1974</v>
      </c>
      <c r="K72" s="7"/>
      <c r="L72" s="7" t="s">
        <v>1975</v>
      </c>
      <c r="M72" s="9" t="b">
        <v>0</v>
      </c>
      <c r="N72" s="9" t="b">
        <v>0</v>
      </c>
      <c r="O72" s="7">
        <v>0</v>
      </c>
      <c r="P72" s="7" t="s">
        <v>666</v>
      </c>
      <c r="Q72" s="7" t="s">
        <v>1976</v>
      </c>
      <c r="R72" s="8" t="s">
        <v>43</v>
      </c>
      <c r="S72" s="8" t="s">
        <v>1737</v>
      </c>
      <c r="T72" s="7" t="s">
        <v>33</v>
      </c>
      <c r="U72" s="7" t="s">
        <v>33</v>
      </c>
      <c r="V72" s="7" t="s">
        <v>1470</v>
      </c>
      <c r="W72" s="7" t="s">
        <v>35</v>
      </c>
      <c r="X72" s="7" t="s">
        <v>1544</v>
      </c>
      <c r="Y72" s="18" t="s">
        <v>1977</v>
      </c>
    </row>
    <row r="73" spans="1:25" ht="27" customHeight="1" x14ac:dyDescent="0.2">
      <c r="A73" s="11">
        <v>72</v>
      </c>
      <c r="B73" s="12" t="s">
        <v>1978</v>
      </c>
      <c r="C73" s="12" t="s">
        <v>1979</v>
      </c>
      <c r="D73" s="13" t="s">
        <v>78</v>
      </c>
      <c r="E73" s="12" t="s">
        <v>1980</v>
      </c>
      <c r="F73" s="12">
        <v>200</v>
      </c>
      <c r="G73" s="12">
        <v>300</v>
      </c>
      <c r="H73" s="12">
        <v>30</v>
      </c>
      <c r="I73" s="87">
        <v>10</v>
      </c>
      <c r="J73" s="12" t="s">
        <v>1981</v>
      </c>
      <c r="K73" s="12"/>
      <c r="L73" s="12"/>
      <c r="M73" s="14" t="b">
        <v>0</v>
      </c>
      <c r="N73" s="14" t="b">
        <v>0</v>
      </c>
      <c r="O73" s="12">
        <v>0</v>
      </c>
      <c r="P73" s="12" t="s">
        <v>666</v>
      </c>
      <c r="Q73" s="12" t="s">
        <v>226</v>
      </c>
      <c r="R73" s="13" t="s">
        <v>270</v>
      </c>
      <c r="S73" s="13" t="s">
        <v>1737</v>
      </c>
      <c r="T73" s="12" t="s">
        <v>33</v>
      </c>
      <c r="U73" s="12" t="s">
        <v>33</v>
      </c>
      <c r="V73" s="12" t="s">
        <v>1470</v>
      </c>
      <c r="W73" s="12" t="s">
        <v>35</v>
      </c>
      <c r="X73" s="12" t="s">
        <v>1544</v>
      </c>
      <c r="Y73" s="17" t="s">
        <v>1982</v>
      </c>
    </row>
    <row r="74" spans="1:25" ht="27" customHeight="1" x14ac:dyDescent="0.2">
      <c r="A74" s="6">
        <v>73</v>
      </c>
      <c r="B74" s="7" t="s">
        <v>1983</v>
      </c>
      <c r="C74" s="7" t="s">
        <v>1984</v>
      </c>
      <c r="D74" s="8" t="s">
        <v>27</v>
      </c>
      <c r="E74" s="7" t="s">
        <v>1985</v>
      </c>
      <c r="F74" s="7">
        <v>375</v>
      </c>
      <c r="G74" s="7">
        <v>300</v>
      </c>
      <c r="H74" s="7">
        <v>1200</v>
      </c>
      <c r="I74" s="86">
        <v>10</v>
      </c>
      <c r="J74" s="7" t="s">
        <v>1986</v>
      </c>
      <c r="K74" s="7" t="s">
        <v>1987</v>
      </c>
      <c r="L74" s="7" t="s">
        <v>1988</v>
      </c>
      <c r="M74" s="9" t="b">
        <v>0</v>
      </c>
      <c r="N74" s="9" t="b">
        <v>0</v>
      </c>
      <c r="O74" s="7">
        <v>0</v>
      </c>
      <c r="P74" s="7" t="s">
        <v>268</v>
      </c>
      <c r="Q74" s="7" t="s">
        <v>1989</v>
      </c>
      <c r="R74" s="8" t="s">
        <v>740</v>
      </c>
      <c r="S74" s="8" t="s">
        <v>1737</v>
      </c>
      <c r="T74" s="7" t="s">
        <v>33</v>
      </c>
      <c r="U74" s="7" t="s">
        <v>33</v>
      </c>
      <c r="V74" s="7" t="s">
        <v>1470</v>
      </c>
      <c r="W74" s="7" t="s">
        <v>35</v>
      </c>
      <c r="X74" s="7" t="s">
        <v>1544</v>
      </c>
      <c r="Y74" s="18" t="s">
        <v>1990</v>
      </c>
    </row>
    <row r="75" spans="1:25" ht="27" customHeight="1" x14ac:dyDescent="0.2">
      <c r="A75" s="11">
        <v>74</v>
      </c>
      <c r="B75" s="12" t="s">
        <v>1991</v>
      </c>
      <c r="C75" s="12" t="s">
        <v>1992</v>
      </c>
      <c r="D75" s="13" t="s">
        <v>27</v>
      </c>
      <c r="E75" s="12" t="s">
        <v>1993</v>
      </c>
      <c r="F75" s="12">
        <v>175</v>
      </c>
      <c r="G75" s="12">
        <v>300</v>
      </c>
      <c r="H75" s="12">
        <v>140</v>
      </c>
      <c r="I75" s="87">
        <v>15</v>
      </c>
      <c r="J75" s="12" t="s">
        <v>1994</v>
      </c>
      <c r="K75" s="12"/>
      <c r="L75" s="12" t="s">
        <v>1995</v>
      </c>
      <c r="M75" s="14" t="b">
        <v>0</v>
      </c>
      <c r="N75" s="14" t="b">
        <v>0</v>
      </c>
      <c r="O75" s="12">
        <v>0</v>
      </c>
      <c r="P75" s="12" t="s">
        <v>666</v>
      </c>
      <c r="Q75" s="12" t="s">
        <v>226</v>
      </c>
      <c r="R75" s="13" t="s">
        <v>52</v>
      </c>
      <c r="S75" s="13" t="s">
        <v>1737</v>
      </c>
      <c r="T75" s="12" t="s">
        <v>33</v>
      </c>
      <c r="U75" s="12" t="s">
        <v>33</v>
      </c>
      <c r="V75" s="12" t="s">
        <v>1470</v>
      </c>
      <c r="W75" s="12" t="s">
        <v>35</v>
      </c>
      <c r="X75" s="12" t="s">
        <v>1544</v>
      </c>
      <c r="Y75" s="17" t="s">
        <v>1996</v>
      </c>
    </row>
    <row r="76" spans="1:25" ht="27" customHeight="1" x14ac:dyDescent="0.2">
      <c r="A76" s="6">
        <v>75</v>
      </c>
      <c r="B76" s="7" t="s">
        <v>1997</v>
      </c>
      <c r="C76" s="7" t="s">
        <v>1998</v>
      </c>
      <c r="D76" s="8" t="s">
        <v>95</v>
      </c>
      <c r="E76" s="7" t="s">
        <v>1999</v>
      </c>
      <c r="F76" s="7">
        <v>300</v>
      </c>
      <c r="G76" s="7">
        <v>300</v>
      </c>
      <c r="H76" s="7">
        <v>30</v>
      </c>
      <c r="I76" s="86">
        <v>15</v>
      </c>
      <c r="J76" s="7" t="s">
        <v>2000</v>
      </c>
      <c r="K76" s="7"/>
      <c r="L76" s="7" t="s">
        <v>2001</v>
      </c>
      <c r="M76" s="9" t="b">
        <v>0</v>
      </c>
      <c r="N76" s="9" t="b">
        <v>0</v>
      </c>
      <c r="O76" s="7">
        <v>0</v>
      </c>
      <c r="P76" s="7" t="s">
        <v>268</v>
      </c>
      <c r="Q76" s="7" t="s">
        <v>335</v>
      </c>
      <c r="R76" s="8" t="s">
        <v>43</v>
      </c>
      <c r="S76" s="8" t="s">
        <v>1737</v>
      </c>
      <c r="T76" s="7" t="s">
        <v>33</v>
      </c>
      <c r="U76" s="7" t="s">
        <v>33</v>
      </c>
      <c r="V76" s="7" t="s">
        <v>1470</v>
      </c>
      <c r="W76" s="7" t="s">
        <v>111</v>
      </c>
      <c r="X76" s="7" t="s">
        <v>1544</v>
      </c>
      <c r="Y76" s="18" t="s">
        <v>2002</v>
      </c>
    </row>
    <row r="77" spans="1:25" ht="27" customHeight="1" x14ac:dyDescent="0.2">
      <c r="A77" s="11">
        <v>76</v>
      </c>
      <c r="B77" s="12" t="s">
        <v>2003</v>
      </c>
      <c r="C77" s="12" t="s">
        <v>2004</v>
      </c>
      <c r="D77" s="13" t="s">
        <v>59</v>
      </c>
      <c r="E77" s="12" t="s">
        <v>2005</v>
      </c>
      <c r="F77" s="12">
        <v>100</v>
      </c>
      <c r="G77" s="12">
        <v>300</v>
      </c>
      <c r="H77" s="12">
        <v>2000</v>
      </c>
      <c r="I77" s="87">
        <v>30</v>
      </c>
      <c r="J77" s="12" t="s">
        <v>2006</v>
      </c>
      <c r="K77" s="12" t="s">
        <v>2007</v>
      </c>
      <c r="L77" s="12"/>
      <c r="M77" s="14" t="b">
        <v>1</v>
      </c>
      <c r="N77" s="14" t="b">
        <v>0</v>
      </c>
      <c r="O77" s="12">
        <v>0</v>
      </c>
      <c r="P77" s="12" t="s">
        <v>666</v>
      </c>
      <c r="Q77" s="12" t="s">
        <v>2008</v>
      </c>
      <c r="R77" s="13" t="s">
        <v>72</v>
      </c>
      <c r="S77" s="13" t="s">
        <v>1737</v>
      </c>
      <c r="T77" s="12" t="s">
        <v>33</v>
      </c>
      <c r="U77" s="12" t="s">
        <v>33</v>
      </c>
      <c r="V77" s="12" t="s">
        <v>1470</v>
      </c>
      <c r="W77" s="12" t="s">
        <v>11</v>
      </c>
      <c r="X77" s="12" t="s">
        <v>1544</v>
      </c>
      <c r="Y77" s="17" t="s">
        <v>2009</v>
      </c>
    </row>
    <row r="78" spans="1:25" ht="27" customHeight="1" x14ac:dyDescent="0.2">
      <c r="A78" s="6">
        <v>77</v>
      </c>
      <c r="B78" s="7" t="s">
        <v>2010</v>
      </c>
      <c r="C78" s="7" t="s">
        <v>2011</v>
      </c>
      <c r="D78" s="8" t="s">
        <v>86</v>
      </c>
      <c r="E78" s="7" t="s">
        <v>2012</v>
      </c>
      <c r="F78" s="7">
        <v>200</v>
      </c>
      <c r="G78" s="7">
        <v>300</v>
      </c>
      <c r="H78" s="7">
        <v>60</v>
      </c>
      <c r="I78" s="86">
        <v>10</v>
      </c>
      <c r="J78" s="7" t="s">
        <v>2013</v>
      </c>
      <c r="K78" s="7" t="s">
        <v>2014</v>
      </c>
      <c r="L78" s="7"/>
      <c r="M78" s="9" t="b">
        <v>0</v>
      </c>
      <c r="N78" s="9" t="b">
        <v>0</v>
      </c>
      <c r="O78" s="7">
        <v>0</v>
      </c>
      <c r="P78" s="7" t="s">
        <v>268</v>
      </c>
      <c r="Q78" s="7" t="s">
        <v>2015</v>
      </c>
      <c r="R78" s="8" t="s">
        <v>43</v>
      </c>
      <c r="S78" s="8" t="s">
        <v>1737</v>
      </c>
      <c r="T78" s="7" t="s">
        <v>33</v>
      </c>
      <c r="U78" s="7" t="s">
        <v>33</v>
      </c>
      <c r="V78" s="7" t="s">
        <v>1470</v>
      </c>
      <c r="W78" s="7" t="s">
        <v>111</v>
      </c>
      <c r="X78" s="7" t="s">
        <v>1544</v>
      </c>
      <c r="Y78" s="18" t="s">
        <v>2016</v>
      </c>
    </row>
    <row r="79" spans="1:25" ht="27" customHeight="1" x14ac:dyDescent="0.2">
      <c r="A79" s="11">
        <v>78</v>
      </c>
      <c r="B79" s="12" t="s">
        <v>2017</v>
      </c>
      <c r="C79" s="12" t="s">
        <v>2018</v>
      </c>
      <c r="D79" s="13" t="s">
        <v>216</v>
      </c>
      <c r="E79" s="12" t="s">
        <v>2019</v>
      </c>
      <c r="F79" s="12">
        <v>150</v>
      </c>
      <c r="G79" s="12">
        <v>300</v>
      </c>
      <c r="H79" s="12">
        <v>250</v>
      </c>
      <c r="I79" s="87">
        <v>10</v>
      </c>
      <c r="J79" s="12" t="s">
        <v>2020</v>
      </c>
      <c r="K79" s="12"/>
      <c r="L79" s="12"/>
      <c r="M79" s="14" t="b">
        <v>0</v>
      </c>
      <c r="N79" s="14" t="b">
        <v>0</v>
      </c>
      <c r="O79" s="12">
        <v>0</v>
      </c>
      <c r="P79" s="12" t="s">
        <v>666</v>
      </c>
      <c r="Q79" s="12" t="s">
        <v>2021</v>
      </c>
      <c r="R79" s="13" t="s">
        <v>43</v>
      </c>
      <c r="S79" s="13" t="s">
        <v>1737</v>
      </c>
      <c r="T79" s="12" t="s">
        <v>33</v>
      </c>
      <c r="U79" s="12" t="s">
        <v>33</v>
      </c>
      <c r="V79" s="12" t="s">
        <v>1470</v>
      </c>
      <c r="W79" s="12" t="s">
        <v>111</v>
      </c>
      <c r="X79" s="12" t="s">
        <v>1544</v>
      </c>
      <c r="Y79" s="17" t="s">
        <v>2022</v>
      </c>
    </row>
    <row r="80" spans="1:25" ht="27" customHeight="1" x14ac:dyDescent="0.2">
      <c r="A80" s="6">
        <v>79</v>
      </c>
      <c r="B80" s="7" t="s">
        <v>2023</v>
      </c>
      <c r="C80" s="7" t="s">
        <v>2024</v>
      </c>
      <c r="D80" s="8" t="s">
        <v>27</v>
      </c>
      <c r="E80" s="7" t="s">
        <v>2025</v>
      </c>
      <c r="F80" s="7">
        <v>200</v>
      </c>
      <c r="G80" s="7">
        <v>300</v>
      </c>
      <c r="H80" s="7">
        <v>20</v>
      </c>
      <c r="I80" s="86">
        <v>5</v>
      </c>
      <c r="J80" s="7" t="s">
        <v>2026</v>
      </c>
      <c r="K80" s="7"/>
      <c r="L80" s="7"/>
      <c r="M80" s="9" t="b">
        <v>0</v>
      </c>
      <c r="N80" s="9" t="b">
        <v>0</v>
      </c>
      <c r="O80" s="7">
        <v>0</v>
      </c>
      <c r="P80" s="7" t="s">
        <v>666</v>
      </c>
      <c r="Q80" s="7" t="s">
        <v>2027</v>
      </c>
      <c r="R80" s="8" t="s">
        <v>43</v>
      </c>
      <c r="S80" s="8" t="s">
        <v>1737</v>
      </c>
      <c r="T80" s="7" t="s">
        <v>33</v>
      </c>
      <c r="U80" s="7" t="s">
        <v>33</v>
      </c>
      <c r="V80" s="7" t="s">
        <v>1470</v>
      </c>
      <c r="W80" s="7" t="s">
        <v>35</v>
      </c>
      <c r="X80" s="7" t="s">
        <v>1544</v>
      </c>
      <c r="Y80" s="18" t="s">
        <v>2028</v>
      </c>
    </row>
    <row r="81" spans="1:25" ht="27" customHeight="1" x14ac:dyDescent="0.2">
      <c r="A81" s="11">
        <v>80</v>
      </c>
      <c r="B81" s="12" t="s">
        <v>2029</v>
      </c>
      <c r="C81" s="12" t="s">
        <v>2030</v>
      </c>
      <c r="D81" s="13" t="s">
        <v>68</v>
      </c>
      <c r="E81" s="12" t="s">
        <v>2031</v>
      </c>
      <c r="F81" s="12">
        <v>200</v>
      </c>
      <c r="G81" s="12">
        <v>300</v>
      </c>
      <c r="H81" s="12">
        <v>100</v>
      </c>
      <c r="I81" s="87">
        <v>10</v>
      </c>
      <c r="J81" s="12" t="s">
        <v>2032</v>
      </c>
      <c r="K81" s="12"/>
      <c r="L81" s="12"/>
      <c r="M81" s="14" t="b">
        <v>0</v>
      </c>
      <c r="N81" s="14" t="b">
        <v>0</v>
      </c>
      <c r="O81" s="12">
        <v>0</v>
      </c>
      <c r="P81" s="12" t="s">
        <v>268</v>
      </c>
      <c r="Q81" s="12"/>
      <c r="R81" s="13" t="s">
        <v>43</v>
      </c>
      <c r="S81" s="13" t="s">
        <v>1737</v>
      </c>
      <c r="T81" s="12" t="s">
        <v>33</v>
      </c>
      <c r="U81" s="12">
        <v>200</v>
      </c>
      <c r="V81" s="12" t="s">
        <v>1470</v>
      </c>
      <c r="W81" s="12" t="s">
        <v>35</v>
      </c>
      <c r="X81" s="12" t="s">
        <v>1544</v>
      </c>
      <c r="Y81" s="17" t="s">
        <v>2033</v>
      </c>
    </row>
    <row r="82" spans="1:25" ht="27" customHeight="1" x14ac:dyDescent="0.2">
      <c r="A82" s="6">
        <v>81</v>
      </c>
      <c r="B82" s="7" t="s">
        <v>2034</v>
      </c>
      <c r="C82" s="7" t="s">
        <v>2035</v>
      </c>
      <c r="D82" s="8" t="s">
        <v>86</v>
      </c>
      <c r="E82" s="7" t="s">
        <v>2036</v>
      </c>
      <c r="F82" s="7">
        <v>250</v>
      </c>
      <c r="G82" s="7">
        <v>300</v>
      </c>
      <c r="H82" s="7">
        <v>150</v>
      </c>
      <c r="I82" s="86">
        <v>5</v>
      </c>
      <c r="J82" s="7" t="s">
        <v>2037</v>
      </c>
      <c r="K82" s="7"/>
      <c r="L82" s="7"/>
      <c r="M82" s="9" t="b">
        <v>0</v>
      </c>
      <c r="N82" s="9" t="b">
        <v>0</v>
      </c>
      <c r="O82" s="7">
        <v>0</v>
      </c>
      <c r="P82" s="7" t="s">
        <v>666</v>
      </c>
      <c r="Q82" s="7" t="s">
        <v>2038</v>
      </c>
      <c r="R82" s="8" t="s">
        <v>52</v>
      </c>
      <c r="S82" s="8" t="s">
        <v>1737</v>
      </c>
      <c r="T82" s="7" t="s">
        <v>33</v>
      </c>
      <c r="U82" s="7" t="s">
        <v>33</v>
      </c>
      <c r="V82" s="7" t="s">
        <v>1470</v>
      </c>
      <c r="W82" s="7" t="s">
        <v>35</v>
      </c>
      <c r="X82" s="7" t="s">
        <v>1544</v>
      </c>
      <c r="Y82" s="18" t="s">
        <v>2039</v>
      </c>
    </row>
    <row r="83" spans="1:25" ht="27" customHeight="1" x14ac:dyDescent="0.2">
      <c r="A83" s="11">
        <v>82</v>
      </c>
      <c r="B83" s="12" t="s">
        <v>2040</v>
      </c>
      <c r="C83" s="12" t="s">
        <v>2041</v>
      </c>
      <c r="D83" s="13" t="s">
        <v>95</v>
      </c>
      <c r="E83" s="12" t="s">
        <v>2042</v>
      </c>
      <c r="F83" s="12">
        <v>150</v>
      </c>
      <c r="G83" s="12">
        <v>300</v>
      </c>
      <c r="H83" s="12">
        <v>15</v>
      </c>
      <c r="I83" s="86">
        <v>7.5</v>
      </c>
      <c r="J83" s="12" t="s">
        <v>2043</v>
      </c>
      <c r="K83" s="12" t="s">
        <v>2044</v>
      </c>
      <c r="L83" s="12"/>
      <c r="M83" s="14" t="b">
        <v>0</v>
      </c>
      <c r="N83" s="14" t="b">
        <v>0</v>
      </c>
      <c r="O83" s="12">
        <v>0</v>
      </c>
      <c r="P83" s="12" t="s">
        <v>268</v>
      </c>
      <c r="Q83" s="12" t="s">
        <v>2045</v>
      </c>
      <c r="R83" s="13" t="s">
        <v>72</v>
      </c>
      <c r="S83" s="13" t="s">
        <v>1737</v>
      </c>
      <c r="T83" s="12" t="s">
        <v>33</v>
      </c>
      <c r="U83" s="12" t="s">
        <v>33</v>
      </c>
      <c r="V83" s="12" t="s">
        <v>1470</v>
      </c>
      <c r="W83" s="12" t="s">
        <v>360</v>
      </c>
      <c r="X83" s="12" t="s">
        <v>1544</v>
      </c>
      <c r="Y83" s="17" t="s">
        <v>2046</v>
      </c>
    </row>
    <row r="84" spans="1:25" ht="27" customHeight="1" x14ac:dyDescent="0.2">
      <c r="A84" s="6">
        <v>83</v>
      </c>
      <c r="B84" s="7" t="s">
        <v>2047</v>
      </c>
      <c r="C84" s="7" t="s">
        <v>2048</v>
      </c>
      <c r="D84" s="8" t="s">
        <v>505</v>
      </c>
      <c r="E84" s="7" t="s">
        <v>2049</v>
      </c>
      <c r="F84" s="7">
        <v>175</v>
      </c>
      <c r="G84" s="7">
        <v>300</v>
      </c>
      <c r="H84" s="7">
        <v>40</v>
      </c>
      <c r="I84" s="86">
        <v>5</v>
      </c>
      <c r="J84" s="7" t="s">
        <v>2050</v>
      </c>
      <c r="K84" s="7"/>
      <c r="L84" s="7"/>
      <c r="M84" s="9" t="b">
        <v>0</v>
      </c>
      <c r="N84" s="9" t="b">
        <v>0</v>
      </c>
      <c r="O84" s="7">
        <v>0</v>
      </c>
      <c r="P84" s="7" t="s">
        <v>268</v>
      </c>
      <c r="Q84" s="7"/>
      <c r="R84" s="8" t="s">
        <v>43</v>
      </c>
      <c r="S84" s="8" t="s">
        <v>1737</v>
      </c>
      <c r="T84" s="7" t="s">
        <v>33</v>
      </c>
      <c r="U84" s="7" t="s">
        <v>33</v>
      </c>
      <c r="V84" s="7" t="s">
        <v>1470</v>
      </c>
      <c r="W84" s="7" t="s">
        <v>35</v>
      </c>
      <c r="X84" s="7" t="s">
        <v>1544</v>
      </c>
      <c r="Y84" s="18" t="s">
        <v>2051</v>
      </c>
    </row>
    <row r="85" spans="1:25" ht="27" customHeight="1" x14ac:dyDescent="0.2">
      <c r="A85" s="11">
        <v>84</v>
      </c>
      <c r="B85" s="12" t="s">
        <v>2052</v>
      </c>
      <c r="C85" s="12" t="s">
        <v>2053</v>
      </c>
      <c r="D85" s="13" t="s">
        <v>105</v>
      </c>
      <c r="E85" s="12" t="s">
        <v>2054</v>
      </c>
      <c r="F85" s="12">
        <v>150</v>
      </c>
      <c r="G85" s="12">
        <v>300</v>
      </c>
      <c r="H85" s="12">
        <v>75</v>
      </c>
      <c r="I85" s="87">
        <v>5</v>
      </c>
      <c r="J85" s="12" t="s">
        <v>2055</v>
      </c>
      <c r="K85" s="12" t="s">
        <v>2056</v>
      </c>
      <c r="L85" s="12"/>
      <c r="M85" s="14" t="b">
        <v>0</v>
      </c>
      <c r="N85" s="14" t="b">
        <v>0</v>
      </c>
      <c r="O85" s="12">
        <v>0</v>
      </c>
      <c r="P85" s="12" t="s">
        <v>666</v>
      </c>
      <c r="Q85" s="12" t="s">
        <v>226</v>
      </c>
      <c r="R85" s="13" t="s">
        <v>43</v>
      </c>
      <c r="S85" s="13" t="s">
        <v>1737</v>
      </c>
      <c r="T85" s="12" t="s">
        <v>33</v>
      </c>
      <c r="U85" s="12" t="s">
        <v>33</v>
      </c>
      <c r="V85" s="12" t="s">
        <v>1470</v>
      </c>
      <c r="W85" s="12" t="s">
        <v>111</v>
      </c>
      <c r="X85" s="12" t="s">
        <v>1544</v>
      </c>
      <c r="Y85" s="17" t="s">
        <v>2057</v>
      </c>
    </row>
    <row r="86" spans="1:25" ht="27" customHeight="1" x14ac:dyDescent="0.2">
      <c r="A86" s="6">
        <v>85</v>
      </c>
      <c r="B86" s="7" t="s">
        <v>2058</v>
      </c>
      <c r="C86" s="7" t="s">
        <v>2059</v>
      </c>
      <c r="D86" s="8" t="s">
        <v>59</v>
      </c>
      <c r="E86" s="7" t="s">
        <v>2060</v>
      </c>
      <c r="F86" s="7">
        <v>450</v>
      </c>
      <c r="G86" s="7">
        <v>300</v>
      </c>
      <c r="H86" s="7">
        <v>700</v>
      </c>
      <c r="I86" s="86">
        <v>10</v>
      </c>
      <c r="J86" s="7" t="s">
        <v>2061</v>
      </c>
      <c r="K86" s="7" t="s">
        <v>1987</v>
      </c>
      <c r="L86" s="7" t="s">
        <v>2062</v>
      </c>
      <c r="M86" s="9" t="b">
        <v>0</v>
      </c>
      <c r="N86" s="9" t="b">
        <v>0</v>
      </c>
      <c r="O86" s="7">
        <v>0</v>
      </c>
      <c r="P86" s="7" t="s">
        <v>666</v>
      </c>
      <c r="Q86" s="7" t="s">
        <v>2063</v>
      </c>
      <c r="R86" s="8" t="s">
        <v>366</v>
      </c>
      <c r="S86" s="8" t="s">
        <v>1737</v>
      </c>
      <c r="T86" s="7" t="s">
        <v>33</v>
      </c>
      <c r="U86" s="7" t="s">
        <v>33</v>
      </c>
      <c r="V86" s="7" t="s">
        <v>2064</v>
      </c>
      <c r="W86" s="7" t="s">
        <v>35</v>
      </c>
      <c r="X86" s="7" t="s">
        <v>1544</v>
      </c>
      <c r="Y86" s="18" t="s">
        <v>2065</v>
      </c>
    </row>
    <row r="87" spans="1:25" ht="27" customHeight="1" x14ac:dyDescent="0.2">
      <c r="A87" s="11">
        <v>86</v>
      </c>
      <c r="B87" s="12" t="s">
        <v>2066</v>
      </c>
      <c r="C87" s="12" t="s">
        <v>2067</v>
      </c>
      <c r="D87" s="13" t="s">
        <v>49</v>
      </c>
      <c r="E87" s="12" t="s">
        <v>2068</v>
      </c>
      <c r="F87" s="12">
        <v>125</v>
      </c>
      <c r="G87" s="12">
        <v>5500</v>
      </c>
      <c r="H87" s="12">
        <v>0</v>
      </c>
      <c r="I87" s="87">
        <v>30</v>
      </c>
      <c r="J87" s="12" t="s">
        <v>2069</v>
      </c>
      <c r="K87" s="12" t="s">
        <v>2070</v>
      </c>
      <c r="L87" s="12" t="s">
        <v>2071</v>
      </c>
      <c r="M87" s="14" t="b">
        <v>0</v>
      </c>
      <c r="N87" s="14" t="b">
        <v>0</v>
      </c>
      <c r="O87" s="12">
        <v>0</v>
      </c>
      <c r="P87" s="12" t="s">
        <v>666</v>
      </c>
      <c r="Q87" s="12" t="s">
        <v>157</v>
      </c>
      <c r="R87" s="13" t="s">
        <v>740</v>
      </c>
      <c r="S87" s="13" t="s">
        <v>1737</v>
      </c>
      <c r="T87" s="12" t="s">
        <v>33</v>
      </c>
      <c r="U87" s="12" t="s">
        <v>33</v>
      </c>
      <c r="V87" s="12" t="s">
        <v>1470</v>
      </c>
      <c r="W87" s="12" t="s">
        <v>54</v>
      </c>
      <c r="X87" s="12" t="s">
        <v>1544</v>
      </c>
      <c r="Y87" s="17" t="s">
        <v>2072</v>
      </c>
    </row>
    <row r="88" spans="1:25" ht="27" customHeight="1" x14ac:dyDescent="0.2">
      <c r="A88" s="6">
        <v>87</v>
      </c>
      <c r="B88" s="7" t="s">
        <v>2073</v>
      </c>
      <c r="C88" s="7" t="s">
        <v>2074</v>
      </c>
      <c r="D88" s="8" t="s">
        <v>95</v>
      </c>
      <c r="E88" s="7" t="s">
        <v>2075</v>
      </c>
      <c r="F88" s="7">
        <v>200</v>
      </c>
      <c r="G88" s="7">
        <v>300</v>
      </c>
      <c r="H88" s="7">
        <v>60</v>
      </c>
      <c r="I88" s="86">
        <v>7.5</v>
      </c>
      <c r="J88" s="7" t="s">
        <v>2076</v>
      </c>
      <c r="K88" s="7" t="s">
        <v>1815</v>
      </c>
      <c r="L88" s="7" t="s">
        <v>2077</v>
      </c>
      <c r="M88" s="9" t="b">
        <v>0</v>
      </c>
      <c r="N88" s="9" t="b">
        <v>0</v>
      </c>
      <c r="O88" s="7">
        <v>0</v>
      </c>
      <c r="P88" s="7" t="s">
        <v>666</v>
      </c>
      <c r="Q88" s="7" t="s">
        <v>2078</v>
      </c>
      <c r="R88" s="8" t="s">
        <v>43</v>
      </c>
      <c r="S88" s="8" t="s">
        <v>1737</v>
      </c>
      <c r="T88" s="7" t="s">
        <v>33</v>
      </c>
      <c r="U88" s="7" t="s">
        <v>33</v>
      </c>
      <c r="V88" s="7" t="s">
        <v>1470</v>
      </c>
      <c r="W88" s="7" t="s">
        <v>35</v>
      </c>
      <c r="X88" s="7" t="s">
        <v>1544</v>
      </c>
      <c r="Y88" s="18" t="s">
        <v>2079</v>
      </c>
    </row>
    <row r="89" spans="1:25" ht="27" customHeight="1" x14ac:dyDescent="0.2">
      <c r="A89" s="11">
        <v>88</v>
      </c>
      <c r="B89" s="12" t="s">
        <v>2080</v>
      </c>
      <c r="C89" s="12" t="s">
        <v>2081</v>
      </c>
      <c r="D89" s="13" t="s">
        <v>105</v>
      </c>
      <c r="E89" s="12" t="s">
        <v>2082</v>
      </c>
      <c r="F89" s="12">
        <v>200</v>
      </c>
      <c r="G89" s="12">
        <v>300</v>
      </c>
      <c r="H89" s="12">
        <v>30</v>
      </c>
      <c r="I89" s="87">
        <v>5</v>
      </c>
      <c r="J89" s="12" t="s">
        <v>2083</v>
      </c>
      <c r="K89" s="12" t="s">
        <v>2084</v>
      </c>
      <c r="L89" s="12" t="s">
        <v>2085</v>
      </c>
      <c r="M89" s="14" t="b">
        <v>0</v>
      </c>
      <c r="N89" s="14" t="b">
        <v>0</v>
      </c>
      <c r="O89" s="12">
        <v>0</v>
      </c>
      <c r="P89" s="12" t="s">
        <v>666</v>
      </c>
      <c r="Q89" s="12"/>
      <c r="R89" s="13" t="s">
        <v>43</v>
      </c>
      <c r="S89" s="13" t="s">
        <v>1737</v>
      </c>
      <c r="T89" s="12" t="s">
        <v>33</v>
      </c>
      <c r="U89" s="12" t="s">
        <v>33</v>
      </c>
      <c r="V89" s="12" t="s">
        <v>1470</v>
      </c>
      <c r="W89" s="12" t="s">
        <v>111</v>
      </c>
      <c r="X89" s="12" t="s">
        <v>1544</v>
      </c>
      <c r="Y89" s="17" t="s">
        <v>2086</v>
      </c>
    </row>
    <row r="90" spans="1:25" ht="27" customHeight="1" x14ac:dyDescent="0.2">
      <c r="A90" s="6">
        <v>89</v>
      </c>
      <c r="B90" s="7" t="s">
        <v>2087</v>
      </c>
      <c r="C90" s="7" t="s">
        <v>2088</v>
      </c>
      <c r="D90" s="8" t="s">
        <v>105</v>
      </c>
      <c r="E90" s="7" t="s">
        <v>2089</v>
      </c>
      <c r="F90" s="7">
        <v>150</v>
      </c>
      <c r="G90" s="7">
        <v>1000</v>
      </c>
      <c r="H90" s="7">
        <v>100</v>
      </c>
      <c r="I90" s="86">
        <v>5</v>
      </c>
      <c r="J90" s="7" t="s">
        <v>2090</v>
      </c>
      <c r="K90" s="7"/>
      <c r="L90" s="7" t="s">
        <v>2091</v>
      </c>
      <c r="M90" s="9" t="b">
        <v>0</v>
      </c>
      <c r="N90" s="9" t="b">
        <v>0</v>
      </c>
      <c r="O90" s="7">
        <v>0</v>
      </c>
      <c r="P90" s="7" t="s">
        <v>666</v>
      </c>
      <c r="Q90" s="7" t="s">
        <v>335</v>
      </c>
      <c r="R90" s="8" t="s">
        <v>43</v>
      </c>
      <c r="S90" s="8" t="s">
        <v>1737</v>
      </c>
      <c r="T90" s="7" t="s">
        <v>33</v>
      </c>
      <c r="U90" s="7" t="s">
        <v>33</v>
      </c>
      <c r="V90" s="7" t="s">
        <v>1470</v>
      </c>
      <c r="W90" s="7" t="s">
        <v>111</v>
      </c>
      <c r="X90" s="7" t="s">
        <v>1544</v>
      </c>
      <c r="Y90" s="18" t="s">
        <v>2092</v>
      </c>
    </row>
    <row r="91" spans="1:25" ht="27" customHeight="1" x14ac:dyDescent="0.2">
      <c r="A91" s="11">
        <v>90</v>
      </c>
      <c r="B91" s="12" t="s">
        <v>2093</v>
      </c>
      <c r="C91" s="12" t="s">
        <v>2094</v>
      </c>
      <c r="D91" s="13" t="s">
        <v>105</v>
      </c>
      <c r="E91" s="12" t="s">
        <v>2095</v>
      </c>
      <c r="F91" s="12">
        <v>150</v>
      </c>
      <c r="G91" s="12">
        <v>400</v>
      </c>
      <c r="H91" s="12">
        <v>300</v>
      </c>
      <c r="I91" s="87">
        <v>5</v>
      </c>
      <c r="J91" s="12" t="s">
        <v>2096</v>
      </c>
      <c r="K91" s="12" t="s">
        <v>2097</v>
      </c>
      <c r="L91" s="12" t="s">
        <v>2098</v>
      </c>
      <c r="M91" s="14" t="b">
        <v>0</v>
      </c>
      <c r="N91" s="14" t="b">
        <v>0</v>
      </c>
      <c r="O91" s="12">
        <v>0</v>
      </c>
      <c r="P91" s="12" t="s">
        <v>666</v>
      </c>
      <c r="Q91" s="12" t="s">
        <v>157</v>
      </c>
      <c r="R91" s="13" t="s">
        <v>43</v>
      </c>
      <c r="S91" s="13" t="s">
        <v>1737</v>
      </c>
      <c r="T91" s="12" t="s">
        <v>33</v>
      </c>
      <c r="U91" s="12" t="s">
        <v>33</v>
      </c>
      <c r="V91" s="12" t="s">
        <v>1470</v>
      </c>
      <c r="W91" s="12" t="s">
        <v>111</v>
      </c>
      <c r="X91" s="12" t="s">
        <v>1544</v>
      </c>
      <c r="Y91" s="17" t="s">
        <v>2099</v>
      </c>
    </row>
    <row r="92" spans="1:25" ht="27" customHeight="1" x14ac:dyDescent="0.2">
      <c r="A92" s="6">
        <v>91</v>
      </c>
      <c r="B92" s="7" t="s">
        <v>2100</v>
      </c>
      <c r="C92" s="7" t="s">
        <v>2101</v>
      </c>
      <c r="D92" s="8" t="s">
        <v>216</v>
      </c>
      <c r="E92" s="7" t="s">
        <v>2102</v>
      </c>
      <c r="F92" s="7">
        <v>150</v>
      </c>
      <c r="G92" s="7">
        <v>300</v>
      </c>
      <c r="H92" s="7">
        <v>200</v>
      </c>
      <c r="I92" s="86">
        <v>5</v>
      </c>
      <c r="J92" s="7" t="s">
        <v>2103</v>
      </c>
      <c r="K92" s="7" t="s">
        <v>2104</v>
      </c>
      <c r="L92" s="7" t="s">
        <v>2105</v>
      </c>
      <c r="M92" s="9" t="b">
        <v>0</v>
      </c>
      <c r="N92" s="9" t="b">
        <v>0</v>
      </c>
      <c r="O92" s="7">
        <v>0</v>
      </c>
      <c r="P92" s="7" t="s">
        <v>666</v>
      </c>
      <c r="Q92" s="7" t="s">
        <v>2106</v>
      </c>
      <c r="R92" s="8" t="s">
        <v>130</v>
      </c>
      <c r="S92" s="8" t="s">
        <v>1737</v>
      </c>
      <c r="T92" s="7" t="s">
        <v>33</v>
      </c>
      <c r="U92" s="7" t="s">
        <v>33</v>
      </c>
      <c r="V92" s="7" t="s">
        <v>1470</v>
      </c>
      <c r="W92" s="7" t="s">
        <v>111</v>
      </c>
      <c r="X92" s="7" t="s">
        <v>1544</v>
      </c>
      <c r="Y92" s="18" t="s">
        <v>2107</v>
      </c>
    </row>
    <row r="93" spans="1:25" ht="27" customHeight="1" x14ac:dyDescent="0.2">
      <c r="A93" s="11">
        <v>92</v>
      </c>
      <c r="B93" s="12" t="s">
        <v>2108</v>
      </c>
      <c r="C93" s="12" t="s">
        <v>2109</v>
      </c>
      <c r="D93" s="13" t="s">
        <v>105</v>
      </c>
      <c r="E93" s="12" t="s">
        <v>2110</v>
      </c>
      <c r="F93" s="12">
        <v>250</v>
      </c>
      <c r="G93" s="12">
        <v>1000</v>
      </c>
      <c r="H93" s="12">
        <v>80</v>
      </c>
      <c r="I93" s="87">
        <v>15</v>
      </c>
      <c r="J93" s="12" t="s">
        <v>2111</v>
      </c>
      <c r="K93" s="12" t="s">
        <v>2112</v>
      </c>
      <c r="L93" s="12" t="s">
        <v>2113</v>
      </c>
      <c r="M93" s="14" t="b">
        <v>0</v>
      </c>
      <c r="N93" s="14" t="b">
        <v>0</v>
      </c>
      <c r="O93" s="12">
        <v>0</v>
      </c>
      <c r="P93" s="12" t="s">
        <v>666</v>
      </c>
      <c r="Q93" s="12" t="s">
        <v>2114</v>
      </c>
      <c r="R93" s="13" t="s">
        <v>366</v>
      </c>
      <c r="S93" s="13" t="s">
        <v>1737</v>
      </c>
      <c r="T93" s="12" t="s">
        <v>33</v>
      </c>
      <c r="U93" s="12" t="s">
        <v>33</v>
      </c>
      <c r="V93" s="12" t="s">
        <v>1470</v>
      </c>
      <c r="W93" s="12" t="s">
        <v>111</v>
      </c>
      <c r="X93" s="12" t="s">
        <v>1544</v>
      </c>
      <c r="Y93" s="17" t="s">
        <v>2115</v>
      </c>
    </row>
    <row r="94" spans="1:25" ht="27" customHeight="1" x14ac:dyDescent="0.2">
      <c r="A94" s="6">
        <v>93</v>
      </c>
      <c r="B94" s="7" t="s">
        <v>2116</v>
      </c>
      <c r="C94" s="7" t="s">
        <v>2117</v>
      </c>
      <c r="D94" s="8" t="s">
        <v>78</v>
      </c>
      <c r="E94" s="7" t="s">
        <v>2118</v>
      </c>
      <c r="F94" s="7">
        <v>200</v>
      </c>
      <c r="G94" s="7">
        <v>300</v>
      </c>
      <c r="H94" s="7">
        <v>200</v>
      </c>
      <c r="I94" s="86">
        <v>5</v>
      </c>
      <c r="J94" s="7" t="s">
        <v>2119</v>
      </c>
      <c r="K94" s="7" t="s">
        <v>1840</v>
      </c>
      <c r="L94" s="7" t="s">
        <v>2120</v>
      </c>
      <c r="M94" s="9" t="b">
        <v>0</v>
      </c>
      <c r="N94" s="9" t="b">
        <v>0</v>
      </c>
      <c r="O94" s="7">
        <v>0</v>
      </c>
      <c r="P94" s="7" t="s">
        <v>666</v>
      </c>
      <c r="Q94" s="7" t="s">
        <v>335</v>
      </c>
      <c r="R94" s="8" t="s">
        <v>43</v>
      </c>
      <c r="S94" s="8" t="s">
        <v>1737</v>
      </c>
      <c r="T94" s="7" t="s">
        <v>33</v>
      </c>
      <c r="U94" s="7" t="s">
        <v>33</v>
      </c>
      <c r="V94" s="7" t="s">
        <v>1470</v>
      </c>
      <c r="W94" s="7" t="s">
        <v>111</v>
      </c>
      <c r="X94" s="7" t="s">
        <v>1544</v>
      </c>
      <c r="Y94" s="18" t="s">
        <v>2121</v>
      </c>
    </row>
    <row r="95" spans="1:25" ht="27" customHeight="1" x14ac:dyDescent="0.2">
      <c r="A95" s="11">
        <v>94</v>
      </c>
      <c r="B95" s="12" t="s">
        <v>2122</v>
      </c>
      <c r="C95" s="12" t="s">
        <v>2123</v>
      </c>
      <c r="D95" s="13" t="s">
        <v>105</v>
      </c>
      <c r="E95" s="12" t="s">
        <v>2124</v>
      </c>
      <c r="F95" s="12">
        <v>150</v>
      </c>
      <c r="G95" s="12">
        <v>300</v>
      </c>
      <c r="H95" s="12">
        <v>50</v>
      </c>
      <c r="I95" s="87">
        <v>5</v>
      </c>
      <c r="J95" s="12" t="s">
        <v>2125</v>
      </c>
      <c r="K95" s="12" t="s">
        <v>1801</v>
      </c>
      <c r="L95" s="12" t="s">
        <v>2126</v>
      </c>
      <c r="M95" s="14" t="b">
        <v>0</v>
      </c>
      <c r="N95" s="14" t="b">
        <v>0</v>
      </c>
      <c r="O95" s="12">
        <v>0</v>
      </c>
      <c r="P95" s="12" t="s">
        <v>268</v>
      </c>
      <c r="Q95" s="12" t="s">
        <v>157</v>
      </c>
      <c r="R95" s="13" t="s">
        <v>531</v>
      </c>
      <c r="S95" s="13" t="s">
        <v>1737</v>
      </c>
      <c r="T95" s="12" t="s">
        <v>33</v>
      </c>
      <c r="U95" s="12" t="s">
        <v>33</v>
      </c>
      <c r="V95" s="12" t="s">
        <v>1470</v>
      </c>
      <c r="W95" s="12" t="s">
        <v>111</v>
      </c>
      <c r="X95" s="12" t="s">
        <v>1544</v>
      </c>
      <c r="Y95" s="17" t="s">
        <v>2127</v>
      </c>
    </row>
    <row r="96" spans="1:25" ht="27" customHeight="1" x14ac:dyDescent="0.2">
      <c r="A96" s="6">
        <v>95</v>
      </c>
      <c r="B96" s="7" t="s">
        <v>2128</v>
      </c>
      <c r="C96" s="7" t="s">
        <v>2129</v>
      </c>
      <c r="D96" s="8" t="s">
        <v>78</v>
      </c>
      <c r="E96" s="7" t="s">
        <v>2130</v>
      </c>
      <c r="F96" s="7">
        <v>250</v>
      </c>
      <c r="G96" s="7">
        <v>300</v>
      </c>
      <c r="H96" s="7">
        <v>40</v>
      </c>
      <c r="I96" s="86">
        <v>7.5</v>
      </c>
      <c r="J96" s="7" t="s">
        <v>2131</v>
      </c>
      <c r="K96" s="7" t="s">
        <v>1815</v>
      </c>
      <c r="L96" s="7" t="s">
        <v>2132</v>
      </c>
      <c r="M96" s="9" t="b">
        <v>0</v>
      </c>
      <c r="N96" s="9" t="b">
        <v>0</v>
      </c>
      <c r="O96" s="7">
        <v>0</v>
      </c>
      <c r="P96" s="7" t="s">
        <v>666</v>
      </c>
      <c r="Q96" s="7"/>
      <c r="R96" s="8" t="s">
        <v>43</v>
      </c>
      <c r="S96" s="8" t="s">
        <v>1737</v>
      </c>
      <c r="T96" s="7" t="s">
        <v>33</v>
      </c>
      <c r="U96" s="7" t="s">
        <v>33</v>
      </c>
      <c r="V96" s="7" t="s">
        <v>1470</v>
      </c>
      <c r="W96" s="7" t="s">
        <v>35</v>
      </c>
      <c r="X96" s="7" t="s">
        <v>1544</v>
      </c>
      <c r="Y96" s="18" t="s">
        <v>2133</v>
      </c>
    </row>
    <row r="97" spans="1:25" ht="27" customHeight="1" x14ac:dyDescent="0.2">
      <c r="A97" s="11">
        <v>96</v>
      </c>
      <c r="B97" s="12" t="s">
        <v>2134</v>
      </c>
      <c r="C97" s="12" t="s">
        <v>2135</v>
      </c>
      <c r="D97" s="13" t="s">
        <v>356</v>
      </c>
      <c r="E97" s="12" t="s">
        <v>2136</v>
      </c>
      <c r="F97" s="12">
        <v>400</v>
      </c>
      <c r="G97" s="12">
        <v>300</v>
      </c>
      <c r="H97" s="12">
        <v>450</v>
      </c>
      <c r="I97" s="87">
        <v>10</v>
      </c>
      <c r="J97" s="12" t="s">
        <v>2137</v>
      </c>
      <c r="K97" s="12" t="s">
        <v>2138</v>
      </c>
      <c r="L97" s="12" t="s">
        <v>2139</v>
      </c>
      <c r="M97" s="14" t="b">
        <v>0</v>
      </c>
      <c r="N97" s="14" t="b">
        <v>0</v>
      </c>
      <c r="O97" s="12">
        <v>0</v>
      </c>
      <c r="P97" s="12" t="s">
        <v>666</v>
      </c>
      <c r="Q97" s="12" t="s">
        <v>2140</v>
      </c>
      <c r="R97" s="13" t="s">
        <v>43</v>
      </c>
      <c r="S97" s="13" t="s">
        <v>1737</v>
      </c>
      <c r="T97" s="12" t="s">
        <v>33</v>
      </c>
      <c r="U97" s="12" t="s">
        <v>33</v>
      </c>
      <c r="V97" s="12" t="s">
        <v>1470</v>
      </c>
      <c r="W97" s="12" t="s">
        <v>35</v>
      </c>
      <c r="X97" s="12" t="s">
        <v>1544</v>
      </c>
      <c r="Y97" s="17" t="s">
        <v>2141</v>
      </c>
    </row>
    <row r="98" spans="1:25" ht="27" customHeight="1" x14ac:dyDescent="0.2">
      <c r="A98" s="6">
        <v>97</v>
      </c>
      <c r="B98" s="7" t="s">
        <v>2142</v>
      </c>
      <c r="C98" s="7" t="s">
        <v>2143</v>
      </c>
      <c r="D98" s="8" t="s">
        <v>105</v>
      </c>
      <c r="E98" s="7" t="s">
        <v>2144</v>
      </c>
      <c r="F98" s="7">
        <v>200</v>
      </c>
      <c r="G98" s="7">
        <v>300</v>
      </c>
      <c r="H98" s="7">
        <v>20</v>
      </c>
      <c r="I98" s="86">
        <v>10</v>
      </c>
      <c r="J98" s="7" t="s">
        <v>2145</v>
      </c>
      <c r="K98" s="7"/>
      <c r="L98" s="7" t="s">
        <v>2146</v>
      </c>
      <c r="M98" s="9" t="b">
        <v>0</v>
      </c>
      <c r="N98" s="9" t="b">
        <v>0</v>
      </c>
      <c r="O98" s="7">
        <v>0</v>
      </c>
      <c r="P98" s="7" t="s">
        <v>666</v>
      </c>
      <c r="Q98" s="7" t="s">
        <v>2147</v>
      </c>
      <c r="R98" s="8" t="s">
        <v>72</v>
      </c>
      <c r="S98" s="8" t="s">
        <v>1737</v>
      </c>
      <c r="T98" s="7" t="s">
        <v>33</v>
      </c>
      <c r="U98" s="7" t="s">
        <v>33</v>
      </c>
      <c r="V98" s="7" t="s">
        <v>1470</v>
      </c>
      <c r="W98" s="7" t="s">
        <v>35</v>
      </c>
      <c r="X98" s="7" t="s">
        <v>1544</v>
      </c>
      <c r="Y98" s="18" t="s">
        <v>2148</v>
      </c>
    </row>
    <row r="99" spans="1:25" ht="27" customHeight="1" x14ac:dyDescent="0.2">
      <c r="A99" s="11">
        <v>98</v>
      </c>
      <c r="B99" s="12" t="s">
        <v>2149</v>
      </c>
      <c r="C99" s="12" t="s">
        <v>2150</v>
      </c>
      <c r="D99" s="13" t="s">
        <v>356</v>
      </c>
      <c r="E99" s="12" t="s">
        <v>2151</v>
      </c>
      <c r="F99" s="12">
        <v>200</v>
      </c>
      <c r="G99" s="12">
        <v>300</v>
      </c>
      <c r="H99" s="12">
        <v>100</v>
      </c>
      <c r="I99" s="87">
        <v>10</v>
      </c>
      <c r="J99" s="12" t="s">
        <v>2152</v>
      </c>
      <c r="K99" s="12" t="s">
        <v>2097</v>
      </c>
      <c r="L99" s="12"/>
      <c r="M99" s="14" t="b">
        <v>0</v>
      </c>
      <c r="N99" s="14" t="b">
        <v>0</v>
      </c>
      <c r="O99" s="12">
        <v>0</v>
      </c>
      <c r="P99" s="12" t="s">
        <v>666</v>
      </c>
      <c r="Q99" s="12" t="s">
        <v>2153</v>
      </c>
      <c r="R99" s="13" t="s">
        <v>43</v>
      </c>
      <c r="S99" s="13" t="s">
        <v>1737</v>
      </c>
      <c r="T99" s="12" t="s">
        <v>33</v>
      </c>
      <c r="U99" s="12" t="s">
        <v>33</v>
      </c>
      <c r="V99" s="12" t="s">
        <v>1470</v>
      </c>
      <c r="W99" s="12" t="s">
        <v>35</v>
      </c>
      <c r="X99" s="12" t="s">
        <v>1544</v>
      </c>
      <c r="Y99" s="17" t="s">
        <v>2154</v>
      </c>
    </row>
    <row r="100" spans="1:25" ht="27" customHeight="1" x14ac:dyDescent="0.2">
      <c r="A100" s="6">
        <v>99</v>
      </c>
      <c r="B100" s="7" t="s">
        <v>2155</v>
      </c>
      <c r="C100" s="7" t="s">
        <v>2156</v>
      </c>
      <c r="D100" s="8" t="s">
        <v>78</v>
      </c>
      <c r="E100" s="7" t="s">
        <v>2157</v>
      </c>
      <c r="F100" s="7">
        <v>150</v>
      </c>
      <c r="G100" s="7">
        <v>300</v>
      </c>
      <c r="H100" s="7">
        <v>80</v>
      </c>
      <c r="I100" s="86">
        <v>10</v>
      </c>
      <c r="J100" s="7" t="s">
        <v>2158</v>
      </c>
      <c r="K100" s="7"/>
      <c r="L100" s="7"/>
      <c r="M100" s="9" t="b">
        <v>0</v>
      </c>
      <c r="N100" s="9" t="b">
        <v>0</v>
      </c>
      <c r="O100" s="7">
        <v>0</v>
      </c>
      <c r="P100" s="7" t="s">
        <v>666</v>
      </c>
      <c r="Q100" s="7"/>
      <c r="R100" s="8" t="s">
        <v>43</v>
      </c>
      <c r="S100" s="8" t="s">
        <v>1737</v>
      </c>
      <c r="T100" s="7" t="s">
        <v>33</v>
      </c>
      <c r="U100" s="7" t="s">
        <v>33</v>
      </c>
      <c r="V100" s="7" t="s">
        <v>1470</v>
      </c>
      <c r="W100" s="7" t="s">
        <v>35</v>
      </c>
      <c r="X100" s="7" t="s">
        <v>1544</v>
      </c>
      <c r="Y100" s="18" t="s">
        <v>2159</v>
      </c>
    </row>
    <row r="101" spans="1:25" ht="27" customHeight="1" x14ac:dyDescent="0.2">
      <c r="A101" s="11">
        <v>100</v>
      </c>
      <c r="B101" s="12" t="s">
        <v>2160</v>
      </c>
      <c r="C101" s="12" t="s">
        <v>2161</v>
      </c>
      <c r="D101" s="13" t="s">
        <v>95</v>
      </c>
      <c r="E101" s="12" t="s">
        <v>2162</v>
      </c>
      <c r="F101" s="12">
        <v>100</v>
      </c>
      <c r="G101" s="12">
        <v>300</v>
      </c>
      <c r="H101" s="12">
        <v>50</v>
      </c>
      <c r="I101" s="87">
        <v>10</v>
      </c>
      <c r="J101" s="12" t="s">
        <v>2163</v>
      </c>
      <c r="K101" s="12"/>
      <c r="L101" s="12" t="s">
        <v>2164</v>
      </c>
      <c r="M101" s="14" t="b">
        <v>0</v>
      </c>
      <c r="N101" s="14" t="b">
        <v>0</v>
      </c>
      <c r="O101" s="12">
        <v>0</v>
      </c>
      <c r="P101" s="12" t="s">
        <v>666</v>
      </c>
      <c r="Q101" s="12" t="s">
        <v>2165</v>
      </c>
      <c r="R101" s="13" t="s">
        <v>62</v>
      </c>
      <c r="S101" s="13" t="s">
        <v>1737</v>
      </c>
      <c r="T101" s="12" t="s">
        <v>33</v>
      </c>
      <c r="U101" s="12" t="s">
        <v>33</v>
      </c>
      <c r="V101" s="12" t="s">
        <v>1470</v>
      </c>
      <c r="W101" s="12" t="s">
        <v>111</v>
      </c>
      <c r="X101" s="12" t="s">
        <v>1544</v>
      </c>
      <c r="Y101" s="17" t="s">
        <v>2166</v>
      </c>
    </row>
    <row r="102" spans="1:25" ht="27" customHeight="1" x14ac:dyDescent="0.2">
      <c r="A102" s="6">
        <v>101</v>
      </c>
      <c r="B102" s="7" t="s">
        <v>2167</v>
      </c>
      <c r="C102" s="7" t="s">
        <v>2167</v>
      </c>
      <c r="D102" s="8" t="s">
        <v>216</v>
      </c>
      <c r="E102" s="7" t="s">
        <v>2168</v>
      </c>
      <c r="F102" s="7">
        <v>300</v>
      </c>
      <c r="G102" s="7">
        <v>300</v>
      </c>
      <c r="H102" s="7">
        <v>60</v>
      </c>
      <c r="I102" s="86">
        <v>7.5</v>
      </c>
      <c r="J102" s="7" t="s">
        <v>2169</v>
      </c>
      <c r="K102" s="7" t="s">
        <v>2097</v>
      </c>
      <c r="L102" s="7" t="s">
        <v>2170</v>
      </c>
      <c r="M102" s="9" t="b">
        <v>0</v>
      </c>
      <c r="N102" s="9" t="b">
        <v>0</v>
      </c>
      <c r="O102" s="7">
        <v>0</v>
      </c>
      <c r="P102" s="7" t="s">
        <v>666</v>
      </c>
      <c r="Q102" s="7" t="s">
        <v>226</v>
      </c>
      <c r="R102" s="8" t="s">
        <v>52</v>
      </c>
      <c r="S102" s="8" t="s">
        <v>1737</v>
      </c>
      <c r="T102" s="7" t="s">
        <v>33</v>
      </c>
      <c r="U102" s="7" t="s">
        <v>33</v>
      </c>
      <c r="V102" s="7" t="s">
        <v>1470</v>
      </c>
      <c r="W102" s="7" t="s">
        <v>35</v>
      </c>
      <c r="X102" s="7" t="s">
        <v>1544</v>
      </c>
      <c r="Y102" s="18" t="s">
        <v>2171</v>
      </c>
    </row>
    <row r="103" spans="1:25" ht="27" customHeight="1" x14ac:dyDescent="0.2">
      <c r="A103" s="11">
        <v>102</v>
      </c>
      <c r="B103" s="12" t="s">
        <v>2172</v>
      </c>
      <c r="C103" s="12" t="s">
        <v>2173</v>
      </c>
      <c r="D103" s="13" t="s">
        <v>105</v>
      </c>
      <c r="E103" s="12" t="s">
        <v>2174</v>
      </c>
      <c r="F103" s="12">
        <v>150</v>
      </c>
      <c r="G103" s="12">
        <v>300</v>
      </c>
      <c r="H103" s="12">
        <v>50</v>
      </c>
      <c r="I103" s="87">
        <v>5</v>
      </c>
      <c r="J103" s="12" t="s">
        <v>2175</v>
      </c>
      <c r="K103" s="12" t="s">
        <v>2014</v>
      </c>
      <c r="L103" s="12" t="s">
        <v>2176</v>
      </c>
      <c r="M103" s="14" t="b">
        <v>0</v>
      </c>
      <c r="N103" s="14" t="b">
        <v>0</v>
      </c>
      <c r="O103" s="12">
        <v>0</v>
      </c>
      <c r="P103" s="12" t="s">
        <v>666</v>
      </c>
      <c r="Q103" s="12"/>
      <c r="R103" s="13" t="s">
        <v>72</v>
      </c>
      <c r="S103" s="13" t="s">
        <v>1737</v>
      </c>
      <c r="T103" s="12" t="s">
        <v>33</v>
      </c>
      <c r="U103" s="12" t="s">
        <v>33</v>
      </c>
      <c r="V103" s="12" t="s">
        <v>1470</v>
      </c>
      <c r="W103" s="12" t="s">
        <v>111</v>
      </c>
      <c r="X103" s="12" t="s">
        <v>1544</v>
      </c>
      <c r="Y103" s="17" t="s">
        <v>2177</v>
      </c>
    </row>
    <row r="104" spans="1:25" ht="27" customHeight="1" x14ac:dyDescent="0.2">
      <c r="A104" s="6">
        <v>103</v>
      </c>
      <c r="B104" s="7" t="s">
        <v>2178</v>
      </c>
      <c r="C104" s="7" t="s">
        <v>2179</v>
      </c>
      <c r="D104" s="8" t="s">
        <v>356</v>
      </c>
      <c r="E104" s="7" t="s">
        <v>2180</v>
      </c>
      <c r="F104" s="7">
        <v>225</v>
      </c>
      <c r="G104" s="7">
        <v>300</v>
      </c>
      <c r="H104" s="7">
        <v>30</v>
      </c>
      <c r="I104" s="86">
        <v>10</v>
      </c>
      <c r="J104" s="7" t="s">
        <v>2181</v>
      </c>
      <c r="K104" s="7" t="s">
        <v>2182</v>
      </c>
      <c r="L104" s="7" t="s">
        <v>2183</v>
      </c>
      <c r="M104" s="9" t="b">
        <v>0</v>
      </c>
      <c r="N104" s="9" t="b">
        <v>0</v>
      </c>
      <c r="O104" s="7">
        <v>0</v>
      </c>
      <c r="P104" s="7" t="s">
        <v>666</v>
      </c>
      <c r="Q104" s="7" t="s">
        <v>2184</v>
      </c>
      <c r="R104" s="8" t="s">
        <v>43</v>
      </c>
      <c r="S104" s="8" t="s">
        <v>1737</v>
      </c>
      <c r="T104" s="7" t="s">
        <v>33</v>
      </c>
      <c r="U104" s="7" t="s">
        <v>33</v>
      </c>
      <c r="V104" s="7" t="s">
        <v>1470</v>
      </c>
      <c r="W104" s="7" t="s">
        <v>35</v>
      </c>
      <c r="X104" s="7" t="s">
        <v>1544</v>
      </c>
      <c r="Y104" s="18" t="s">
        <v>2185</v>
      </c>
    </row>
    <row r="105" spans="1:25" ht="27" customHeight="1" x14ac:dyDescent="0.2">
      <c r="A105" s="11">
        <v>104</v>
      </c>
      <c r="B105" s="12" t="s">
        <v>2186</v>
      </c>
      <c r="C105" s="12" t="s">
        <v>2187</v>
      </c>
      <c r="D105" s="13" t="s">
        <v>356</v>
      </c>
      <c r="E105" s="12" t="s">
        <v>2188</v>
      </c>
      <c r="F105" s="12">
        <v>50</v>
      </c>
      <c r="G105" s="12">
        <v>300</v>
      </c>
      <c r="H105" s="12">
        <v>400</v>
      </c>
      <c r="I105" s="87">
        <v>10</v>
      </c>
      <c r="J105" s="12" t="s">
        <v>2189</v>
      </c>
      <c r="K105" s="12" t="s">
        <v>2190</v>
      </c>
      <c r="L105" s="12"/>
      <c r="M105" s="14" t="b">
        <v>0</v>
      </c>
      <c r="N105" s="14" t="b">
        <v>0</v>
      </c>
      <c r="O105" s="12">
        <v>0</v>
      </c>
      <c r="P105" s="12" t="s">
        <v>666</v>
      </c>
      <c r="Q105" s="12" t="s">
        <v>2191</v>
      </c>
      <c r="R105" s="13" t="s">
        <v>740</v>
      </c>
      <c r="S105" s="13" t="s">
        <v>1737</v>
      </c>
      <c r="T105" s="12" t="s">
        <v>33</v>
      </c>
      <c r="U105" s="12" t="s">
        <v>33</v>
      </c>
      <c r="V105" s="12" t="s">
        <v>2192</v>
      </c>
      <c r="W105" s="12" t="s">
        <v>35</v>
      </c>
      <c r="X105" s="12" t="s">
        <v>1544</v>
      </c>
      <c r="Y105" s="17" t="s">
        <v>2193</v>
      </c>
    </row>
    <row r="106" spans="1:25" ht="27" customHeight="1" x14ac:dyDescent="0.2">
      <c r="A106" s="6">
        <v>105</v>
      </c>
      <c r="B106" s="7" t="s">
        <v>2194</v>
      </c>
      <c r="C106" s="7" t="s">
        <v>2195</v>
      </c>
      <c r="D106" s="8" t="s">
        <v>105</v>
      </c>
      <c r="E106" s="7" t="s">
        <v>2196</v>
      </c>
      <c r="F106" s="7">
        <v>225</v>
      </c>
      <c r="G106" s="7">
        <v>300</v>
      </c>
      <c r="H106" s="7">
        <v>100</v>
      </c>
      <c r="I106" s="86">
        <v>10</v>
      </c>
      <c r="J106" s="7" t="s">
        <v>2197</v>
      </c>
      <c r="K106" s="7"/>
      <c r="L106" s="7" t="s">
        <v>2198</v>
      </c>
      <c r="M106" s="9" t="b">
        <v>0</v>
      </c>
      <c r="N106" s="9" t="b">
        <v>0</v>
      </c>
      <c r="O106" s="7">
        <v>0</v>
      </c>
      <c r="P106" s="7" t="s">
        <v>666</v>
      </c>
      <c r="Q106" s="7"/>
      <c r="R106" s="8" t="s">
        <v>62</v>
      </c>
      <c r="S106" s="8" t="s">
        <v>1737</v>
      </c>
      <c r="T106" s="7" t="s">
        <v>33</v>
      </c>
      <c r="U106" s="7" t="s">
        <v>33</v>
      </c>
      <c r="V106" s="7" t="s">
        <v>1470</v>
      </c>
      <c r="W106" s="7" t="s">
        <v>35</v>
      </c>
      <c r="X106" s="7" t="s">
        <v>1544</v>
      </c>
      <c r="Y106" s="18" t="s">
        <v>2199</v>
      </c>
    </row>
    <row r="107" spans="1:25" ht="27" customHeight="1" x14ac:dyDescent="0.2">
      <c r="A107" s="11">
        <v>106</v>
      </c>
      <c r="B107" s="12" t="s">
        <v>2200</v>
      </c>
      <c r="C107" s="12" t="s">
        <v>2201</v>
      </c>
      <c r="D107" s="13" t="s">
        <v>356</v>
      </c>
      <c r="E107" s="12" t="s">
        <v>2202</v>
      </c>
      <c r="F107" s="12">
        <v>50</v>
      </c>
      <c r="G107" s="12">
        <v>300</v>
      </c>
      <c r="H107" s="12">
        <v>900</v>
      </c>
      <c r="I107" s="87">
        <v>10</v>
      </c>
      <c r="J107" s="12" t="s">
        <v>2203</v>
      </c>
      <c r="K107" s="12" t="s">
        <v>2204</v>
      </c>
      <c r="L107" s="12"/>
      <c r="M107" s="14" t="b">
        <v>0</v>
      </c>
      <c r="N107" s="14" t="b">
        <v>0</v>
      </c>
      <c r="O107" s="12">
        <v>0</v>
      </c>
      <c r="P107" s="12" t="s">
        <v>666</v>
      </c>
      <c r="Q107" s="12" t="s">
        <v>2205</v>
      </c>
      <c r="R107" s="13" t="s">
        <v>43</v>
      </c>
      <c r="S107" s="13" t="s">
        <v>1737</v>
      </c>
      <c r="T107" s="12" t="s">
        <v>33</v>
      </c>
      <c r="U107" s="12" t="s">
        <v>33</v>
      </c>
      <c r="V107" s="12" t="s">
        <v>2206</v>
      </c>
      <c r="W107" s="12" t="s">
        <v>35</v>
      </c>
      <c r="X107" s="12" t="s">
        <v>1544</v>
      </c>
      <c r="Y107" s="17" t="s">
        <v>2207</v>
      </c>
    </row>
    <row r="108" spans="1:25" ht="27" customHeight="1" x14ac:dyDescent="0.2">
      <c r="A108" s="6">
        <v>107</v>
      </c>
      <c r="B108" s="7" t="s">
        <v>2208</v>
      </c>
      <c r="C108" s="7" t="s">
        <v>2209</v>
      </c>
      <c r="D108" s="8" t="s">
        <v>95</v>
      </c>
      <c r="E108" s="7" t="s">
        <v>2210</v>
      </c>
      <c r="F108" s="7">
        <v>75</v>
      </c>
      <c r="G108" s="7">
        <v>300</v>
      </c>
      <c r="H108" s="7">
        <v>0</v>
      </c>
      <c r="I108" s="86">
        <v>10</v>
      </c>
      <c r="J108" s="7" t="s">
        <v>2211</v>
      </c>
      <c r="K108" s="7" t="s">
        <v>2212</v>
      </c>
      <c r="L108" s="7"/>
      <c r="M108" s="9" t="b">
        <v>0</v>
      </c>
      <c r="N108" s="9" t="b">
        <v>0</v>
      </c>
      <c r="O108" s="7">
        <v>0</v>
      </c>
      <c r="P108" s="7" t="s">
        <v>666</v>
      </c>
      <c r="Q108" s="7" t="s">
        <v>2213</v>
      </c>
      <c r="R108" s="8" t="s">
        <v>43</v>
      </c>
      <c r="S108" s="8" t="s">
        <v>1737</v>
      </c>
      <c r="T108" s="7" t="s">
        <v>33</v>
      </c>
      <c r="U108" s="7" t="s">
        <v>33</v>
      </c>
      <c r="V108" s="7" t="s">
        <v>2214</v>
      </c>
      <c r="W108" s="7" t="s">
        <v>360</v>
      </c>
      <c r="X108" s="7" t="s">
        <v>1544</v>
      </c>
      <c r="Y108" s="18" t="s">
        <v>2215</v>
      </c>
    </row>
    <row r="109" spans="1:25" ht="27" customHeight="1" x14ac:dyDescent="0.2">
      <c r="A109" s="11">
        <v>108</v>
      </c>
      <c r="B109" s="12" t="s">
        <v>2216</v>
      </c>
      <c r="C109" s="12" t="s">
        <v>2217</v>
      </c>
      <c r="D109" s="13" t="s">
        <v>68</v>
      </c>
      <c r="E109" s="12" t="s">
        <v>2218</v>
      </c>
      <c r="F109" s="12">
        <v>250</v>
      </c>
      <c r="G109" s="12">
        <v>300</v>
      </c>
      <c r="H109" s="12">
        <v>50</v>
      </c>
      <c r="I109" s="86">
        <v>7.5</v>
      </c>
      <c r="J109" s="12" t="s">
        <v>2219</v>
      </c>
      <c r="K109" s="12"/>
      <c r="L109" s="12"/>
      <c r="M109" s="14" t="b">
        <v>0</v>
      </c>
      <c r="N109" s="14" t="b">
        <v>0</v>
      </c>
      <c r="O109" s="12">
        <v>0</v>
      </c>
      <c r="P109" s="12" t="s">
        <v>666</v>
      </c>
      <c r="Q109" s="12" t="s">
        <v>2220</v>
      </c>
      <c r="R109" s="13" t="s">
        <v>43</v>
      </c>
      <c r="S109" s="13" t="s">
        <v>1737</v>
      </c>
      <c r="T109" s="12" t="s">
        <v>33</v>
      </c>
      <c r="U109" s="12" t="s">
        <v>33</v>
      </c>
      <c r="V109" s="12" t="s">
        <v>2221</v>
      </c>
      <c r="W109" s="12" t="s">
        <v>35</v>
      </c>
      <c r="X109" s="12" t="s">
        <v>1544</v>
      </c>
      <c r="Y109" s="17" t="s">
        <v>2222</v>
      </c>
    </row>
    <row r="110" spans="1:25" ht="27" customHeight="1" x14ac:dyDescent="0.2">
      <c r="A110" s="6">
        <v>109</v>
      </c>
      <c r="B110" s="7" t="s">
        <v>2223</v>
      </c>
      <c r="C110" s="7" t="s">
        <v>2224</v>
      </c>
      <c r="D110" s="8" t="s">
        <v>78</v>
      </c>
      <c r="E110" s="7" t="s">
        <v>2225</v>
      </c>
      <c r="F110" s="7">
        <v>250</v>
      </c>
      <c r="G110" s="7">
        <v>300</v>
      </c>
      <c r="H110" s="7">
        <v>80</v>
      </c>
      <c r="I110" s="86">
        <v>6.5</v>
      </c>
      <c r="J110" s="7" t="s">
        <v>2226</v>
      </c>
      <c r="K110" s="7"/>
      <c r="L110" s="7"/>
      <c r="M110" s="9" t="b">
        <v>0</v>
      </c>
      <c r="N110" s="9" t="b">
        <v>0</v>
      </c>
      <c r="O110" s="7">
        <v>0</v>
      </c>
      <c r="P110" s="7" t="s">
        <v>666</v>
      </c>
      <c r="Q110" s="7"/>
      <c r="R110" s="8" t="s">
        <v>740</v>
      </c>
      <c r="S110" s="8" t="s">
        <v>1737</v>
      </c>
      <c r="T110" s="7" t="s">
        <v>33</v>
      </c>
      <c r="U110" s="7" t="s">
        <v>33</v>
      </c>
      <c r="V110" s="7" t="s">
        <v>2227</v>
      </c>
      <c r="W110" s="7" t="s">
        <v>35</v>
      </c>
      <c r="X110" s="7" t="s">
        <v>1544</v>
      </c>
      <c r="Y110" s="18" t="s">
        <v>2228</v>
      </c>
    </row>
    <row r="111" spans="1:25" ht="27" customHeight="1" x14ac:dyDescent="0.2">
      <c r="A111" s="11">
        <v>110</v>
      </c>
      <c r="B111" s="12" t="s">
        <v>2229</v>
      </c>
      <c r="C111" s="12" t="s">
        <v>2230</v>
      </c>
      <c r="D111" s="13" t="s">
        <v>40</v>
      </c>
      <c r="E111" s="12" t="s">
        <v>2231</v>
      </c>
      <c r="F111" s="12">
        <v>50</v>
      </c>
      <c r="G111" s="12">
        <v>1000</v>
      </c>
      <c r="H111" s="12">
        <v>0</v>
      </c>
      <c r="I111" s="87">
        <v>10</v>
      </c>
      <c r="J111" s="12" t="s">
        <v>2232</v>
      </c>
      <c r="K111" s="12"/>
      <c r="L111" s="12"/>
      <c r="M111" s="14" t="b">
        <v>0</v>
      </c>
      <c r="N111" s="14" t="b">
        <v>0</v>
      </c>
      <c r="O111" s="12">
        <v>50</v>
      </c>
      <c r="P111" s="12" t="s">
        <v>666</v>
      </c>
      <c r="Q111" s="12" t="s">
        <v>269</v>
      </c>
      <c r="R111" s="13" t="s">
        <v>72</v>
      </c>
      <c r="S111" s="13" t="s">
        <v>1737</v>
      </c>
      <c r="T111" s="12" t="s">
        <v>33</v>
      </c>
      <c r="U111" s="12" t="s">
        <v>33</v>
      </c>
      <c r="V111" s="12" t="s">
        <v>2233</v>
      </c>
      <c r="W111" s="12" t="s">
        <v>45</v>
      </c>
      <c r="X111" s="12" t="s">
        <v>1544</v>
      </c>
      <c r="Y111" s="17" t="s">
        <v>2234</v>
      </c>
    </row>
    <row r="112" spans="1:25" ht="27" customHeight="1" x14ac:dyDescent="0.2">
      <c r="A112" s="6">
        <v>111</v>
      </c>
      <c r="B112" s="7" t="s">
        <v>2235</v>
      </c>
      <c r="C112" s="7" t="s">
        <v>2236</v>
      </c>
      <c r="D112" s="8" t="s">
        <v>105</v>
      </c>
      <c r="E112" s="7" t="s">
        <v>2237</v>
      </c>
      <c r="F112" s="7">
        <v>200</v>
      </c>
      <c r="G112" s="7">
        <v>300</v>
      </c>
      <c r="H112" s="7">
        <v>60</v>
      </c>
      <c r="I112" s="86">
        <v>5</v>
      </c>
      <c r="J112" s="7" t="s">
        <v>2238</v>
      </c>
      <c r="K112" s="7"/>
      <c r="L112" s="7"/>
      <c r="M112" s="9" t="b">
        <v>0</v>
      </c>
      <c r="N112" s="9" t="b">
        <v>0</v>
      </c>
      <c r="O112" s="7">
        <v>0</v>
      </c>
      <c r="P112" s="7" t="s">
        <v>666</v>
      </c>
      <c r="Q112" s="7" t="s">
        <v>2239</v>
      </c>
      <c r="R112" s="8" t="s">
        <v>43</v>
      </c>
      <c r="S112" s="8" t="s">
        <v>1737</v>
      </c>
      <c r="T112" s="7" t="s">
        <v>33</v>
      </c>
      <c r="U112" s="7" t="s">
        <v>33</v>
      </c>
      <c r="V112" s="7" t="s">
        <v>2240</v>
      </c>
      <c r="W112" s="7" t="s">
        <v>35</v>
      </c>
      <c r="X112" s="7" t="s">
        <v>1544</v>
      </c>
      <c r="Y112" s="18" t="s">
        <v>2241</v>
      </c>
    </row>
    <row r="113" spans="1:25" ht="27" customHeight="1" x14ac:dyDescent="0.2">
      <c r="A113" s="11">
        <v>112</v>
      </c>
      <c r="B113" s="12" t="s">
        <v>2242</v>
      </c>
      <c r="C113" s="12" t="s">
        <v>2243</v>
      </c>
      <c r="D113" s="13" t="s">
        <v>27</v>
      </c>
      <c r="E113" s="12" t="s">
        <v>2244</v>
      </c>
      <c r="F113" s="12">
        <v>200</v>
      </c>
      <c r="G113" s="12">
        <v>300</v>
      </c>
      <c r="H113" s="12">
        <v>35</v>
      </c>
      <c r="I113" s="86">
        <v>7.5</v>
      </c>
      <c r="J113" s="12" t="s">
        <v>2245</v>
      </c>
      <c r="K113" s="12"/>
      <c r="L113" s="12"/>
      <c r="M113" s="14" t="b">
        <v>0</v>
      </c>
      <c r="N113" s="14" t="b">
        <v>0</v>
      </c>
      <c r="O113" s="12">
        <v>0</v>
      </c>
      <c r="P113" s="12" t="s">
        <v>666</v>
      </c>
      <c r="Q113" s="12"/>
      <c r="R113" s="13" t="s">
        <v>43</v>
      </c>
      <c r="S113" s="13" t="s">
        <v>1737</v>
      </c>
      <c r="T113" s="12" t="s">
        <v>33</v>
      </c>
      <c r="U113" s="12" t="s">
        <v>33</v>
      </c>
      <c r="V113" s="12" t="s">
        <v>1470</v>
      </c>
      <c r="W113" s="12" t="s">
        <v>35</v>
      </c>
      <c r="X113" s="12" t="s">
        <v>1544</v>
      </c>
      <c r="Y113" s="17" t="s">
        <v>2246</v>
      </c>
    </row>
    <row r="114" spans="1:25" ht="27" customHeight="1" x14ac:dyDescent="0.2">
      <c r="A114" s="6">
        <v>113</v>
      </c>
      <c r="B114" s="7" t="s">
        <v>2247</v>
      </c>
      <c r="C114" s="7" t="s">
        <v>2248</v>
      </c>
      <c r="D114" s="8" t="s">
        <v>78</v>
      </c>
      <c r="E114" s="7" t="s">
        <v>2249</v>
      </c>
      <c r="F114" s="7">
        <v>200</v>
      </c>
      <c r="G114" s="7">
        <v>300</v>
      </c>
      <c r="H114" s="7">
        <v>5</v>
      </c>
      <c r="I114" s="86">
        <v>7.5</v>
      </c>
      <c r="J114" s="7" t="s">
        <v>2250</v>
      </c>
      <c r="K114" s="7"/>
      <c r="L114" s="7"/>
      <c r="M114" s="9" t="b">
        <v>0</v>
      </c>
      <c r="N114" s="9" t="b">
        <v>0</v>
      </c>
      <c r="O114" s="7">
        <v>0</v>
      </c>
      <c r="P114" s="7" t="s">
        <v>666</v>
      </c>
      <c r="Q114" s="7"/>
      <c r="R114" s="8" t="s">
        <v>62</v>
      </c>
      <c r="S114" s="8" t="s">
        <v>1737</v>
      </c>
      <c r="T114" s="7" t="s">
        <v>33</v>
      </c>
      <c r="U114" s="7" t="s">
        <v>33</v>
      </c>
      <c r="V114" s="7" t="s">
        <v>1470</v>
      </c>
      <c r="W114" s="7" t="s">
        <v>35</v>
      </c>
      <c r="X114" s="7" t="s">
        <v>1544</v>
      </c>
      <c r="Y114" s="18" t="s">
        <v>2251</v>
      </c>
    </row>
    <row r="115" spans="1:25" ht="27" customHeight="1" x14ac:dyDescent="0.2">
      <c r="A115" s="11">
        <v>114</v>
      </c>
      <c r="B115" s="12" t="s">
        <v>2252</v>
      </c>
      <c r="C115" s="12" t="s">
        <v>2253</v>
      </c>
      <c r="D115" s="13" t="s">
        <v>356</v>
      </c>
      <c r="E115" s="12" t="s">
        <v>2254</v>
      </c>
      <c r="F115" s="12">
        <v>200</v>
      </c>
      <c r="G115" s="12">
        <v>300</v>
      </c>
      <c r="H115" s="12">
        <v>30</v>
      </c>
      <c r="I115" s="87">
        <v>10</v>
      </c>
      <c r="J115" s="12" t="s">
        <v>2255</v>
      </c>
      <c r="K115" s="12"/>
      <c r="L115" s="12"/>
      <c r="M115" s="14" t="b">
        <v>0</v>
      </c>
      <c r="N115" s="14" t="b">
        <v>0</v>
      </c>
      <c r="O115" s="12">
        <v>0</v>
      </c>
      <c r="P115" s="12" t="s">
        <v>666</v>
      </c>
      <c r="Q115" s="12" t="s">
        <v>157</v>
      </c>
      <c r="R115" s="13" t="s">
        <v>531</v>
      </c>
      <c r="S115" s="13" t="s">
        <v>1737</v>
      </c>
      <c r="T115" s="12" t="s">
        <v>33</v>
      </c>
      <c r="U115" s="12" t="s">
        <v>33</v>
      </c>
      <c r="V115" s="12" t="s">
        <v>2256</v>
      </c>
      <c r="W115" s="12" t="s">
        <v>35</v>
      </c>
      <c r="X115" s="12" t="s">
        <v>1544</v>
      </c>
      <c r="Y115" s="17" t="s">
        <v>2257</v>
      </c>
    </row>
    <row r="116" spans="1:25" ht="27" customHeight="1" x14ac:dyDescent="0.2">
      <c r="A116" s="6">
        <v>115</v>
      </c>
      <c r="B116" s="7" t="s">
        <v>2258</v>
      </c>
      <c r="C116" s="7" t="s">
        <v>2259</v>
      </c>
      <c r="D116" s="8" t="s">
        <v>78</v>
      </c>
      <c r="E116" s="7" t="s">
        <v>2260</v>
      </c>
      <c r="F116" s="7">
        <v>200</v>
      </c>
      <c r="G116" s="7">
        <v>300</v>
      </c>
      <c r="H116" s="7">
        <v>60</v>
      </c>
      <c r="I116" s="86">
        <v>7.5</v>
      </c>
      <c r="J116" s="7" t="s">
        <v>2261</v>
      </c>
      <c r="K116" s="7"/>
      <c r="L116" s="7"/>
      <c r="M116" s="9" t="b">
        <v>0</v>
      </c>
      <c r="N116" s="9" t="b">
        <v>0</v>
      </c>
      <c r="O116" s="7">
        <v>0</v>
      </c>
      <c r="P116" s="7" t="s">
        <v>666</v>
      </c>
      <c r="Q116" s="7" t="s">
        <v>2262</v>
      </c>
      <c r="R116" s="8" t="s">
        <v>43</v>
      </c>
      <c r="S116" s="8" t="s">
        <v>1737</v>
      </c>
      <c r="T116" s="7" t="s">
        <v>33</v>
      </c>
      <c r="U116" s="7" t="s">
        <v>33</v>
      </c>
      <c r="V116" s="7" t="s">
        <v>2263</v>
      </c>
      <c r="W116" s="7" t="s">
        <v>111</v>
      </c>
      <c r="X116" s="7" t="s">
        <v>1544</v>
      </c>
      <c r="Y116" s="18" t="s">
        <v>2264</v>
      </c>
    </row>
    <row r="117" spans="1:25" ht="27" customHeight="1" x14ac:dyDescent="0.2">
      <c r="A117" s="11">
        <v>116</v>
      </c>
      <c r="B117" s="12" t="s">
        <v>2265</v>
      </c>
      <c r="C117" s="12" t="s">
        <v>2266</v>
      </c>
      <c r="D117" s="13" t="s">
        <v>216</v>
      </c>
      <c r="E117" s="12" t="s">
        <v>2267</v>
      </c>
      <c r="F117" s="12">
        <v>125</v>
      </c>
      <c r="G117" s="12">
        <v>300</v>
      </c>
      <c r="H117" s="12">
        <v>50</v>
      </c>
      <c r="I117" s="87">
        <v>5</v>
      </c>
      <c r="J117" s="12" t="s">
        <v>2268</v>
      </c>
      <c r="K117" s="12"/>
      <c r="L117" s="12"/>
      <c r="M117" s="14" t="b">
        <v>0</v>
      </c>
      <c r="N117" s="14" t="b">
        <v>0</v>
      </c>
      <c r="O117" s="12">
        <v>0</v>
      </c>
      <c r="P117" s="12" t="s">
        <v>666</v>
      </c>
      <c r="Q117" s="12" t="s">
        <v>219</v>
      </c>
      <c r="R117" s="13" t="s">
        <v>43</v>
      </c>
      <c r="S117" s="13" t="s">
        <v>1737</v>
      </c>
      <c r="T117" s="12" t="s">
        <v>33</v>
      </c>
      <c r="U117" s="12" t="s">
        <v>33</v>
      </c>
      <c r="V117" s="12" t="s">
        <v>2269</v>
      </c>
      <c r="W117" s="12" t="s">
        <v>35</v>
      </c>
      <c r="X117" s="12" t="s">
        <v>1544</v>
      </c>
      <c r="Y117" s="17" t="s">
        <v>2270</v>
      </c>
    </row>
    <row r="118" spans="1:25" ht="27" customHeight="1" x14ac:dyDescent="0.2">
      <c r="A118" s="6">
        <v>117</v>
      </c>
      <c r="B118" s="7" t="s">
        <v>2271</v>
      </c>
      <c r="C118" s="7" t="s">
        <v>2272</v>
      </c>
      <c r="D118" s="8" t="s">
        <v>356</v>
      </c>
      <c r="E118" s="7" t="s">
        <v>2273</v>
      </c>
      <c r="F118" s="7">
        <v>100</v>
      </c>
      <c r="G118" s="7">
        <v>300</v>
      </c>
      <c r="H118" s="7">
        <v>200</v>
      </c>
      <c r="I118" s="86">
        <v>5</v>
      </c>
      <c r="J118" s="7" t="s">
        <v>2274</v>
      </c>
      <c r="K118" s="7"/>
      <c r="L118" s="7"/>
      <c r="M118" s="9" t="b">
        <v>0</v>
      </c>
      <c r="N118" s="9" t="b">
        <v>0</v>
      </c>
      <c r="O118" s="7">
        <v>0</v>
      </c>
      <c r="P118" s="7" t="s">
        <v>666</v>
      </c>
      <c r="Q118" s="7" t="s">
        <v>2213</v>
      </c>
      <c r="R118" s="8" t="s">
        <v>43</v>
      </c>
      <c r="S118" s="8" t="s">
        <v>1737</v>
      </c>
      <c r="T118" s="7" t="s">
        <v>33</v>
      </c>
      <c r="U118" s="7" t="s">
        <v>33</v>
      </c>
      <c r="V118" s="7" t="s">
        <v>2275</v>
      </c>
      <c r="W118" s="7" t="s">
        <v>111</v>
      </c>
      <c r="X118" s="7" t="s">
        <v>1544</v>
      </c>
      <c r="Y118" s="18" t="s">
        <v>2276</v>
      </c>
    </row>
    <row r="119" spans="1:25" ht="27" customHeight="1" x14ac:dyDescent="0.2">
      <c r="A119" s="11">
        <v>118</v>
      </c>
      <c r="B119" s="12" t="s">
        <v>2277</v>
      </c>
      <c r="C119" s="12" t="s">
        <v>2278</v>
      </c>
      <c r="D119" s="13" t="s">
        <v>105</v>
      </c>
      <c r="E119" s="12" t="s">
        <v>2279</v>
      </c>
      <c r="F119" s="12">
        <v>250</v>
      </c>
      <c r="G119" s="12">
        <v>300</v>
      </c>
      <c r="H119" s="12">
        <v>15</v>
      </c>
      <c r="I119" s="87">
        <v>8</v>
      </c>
      <c r="J119" s="12" t="s">
        <v>2280</v>
      </c>
      <c r="K119" s="12"/>
      <c r="L119" s="12"/>
      <c r="M119" s="14" t="b">
        <v>0</v>
      </c>
      <c r="N119" s="14" t="b">
        <v>0</v>
      </c>
      <c r="O119" s="12">
        <v>0</v>
      </c>
      <c r="P119" s="12" t="s">
        <v>666</v>
      </c>
      <c r="Q119" s="12" t="s">
        <v>847</v>
      </c>
      <c r="R119" s="13" t="s">
        <v>43</v>
      </c>
      <c r="S119" s="13" t="s">
        <v>1737</v>
      </c>
      <c r="T119" s="12" t="s">
        <v>33</v>
      </c>
      <c r="U119" s="12" t="s">
        <v>33</v>
      </c>
      <c r="V119" s="12" t="s">
        <v>2281</v>
      </c>
      <c r="W119" s="12" t="s">
        <v>35</v>
      </c>
      <c r="X119" s="12" t="s">
        <v>1544</v>
      </c>
      <c r="Y119" s="17" t="s">
        <v>2282</v>
      </c>
    </row>
    <row r="120" spans="1:25" ht="27" customHeight="1" x14ac:dyDescent="0.2">
      <c r="A120" s="6">
        <v>119</v>
      </c>
      <c r="B120" s="7" t="s">
        <v>2283</v>
      </c>
      <c r="C120" s="7" t="s">
        <v>2284</v>
      </c>
      <c r="D120" s="8" t="s">
        <v>135</v>
      </c>
      <c r="E120" s="7" t="s">
        <v>2285</v>
      </c>
      <c r="F120" s="7">
        <v>200</v>
      </c>
      <c r="G120" s="7">
        <v>300</v>
      </c>
      <c r="H120" s="7">
        <v>50</v>
      </c>
      <c r="I120" s="86">
        <v>8</v>
      </c>
      <c r="J120" s="7" t="s">
        <v>2286</v>
      </c>
      <c r="K120" s="7"/>
      <c r="L120" s="7"/>
      <c r="M120" s="9" t="b">
        <v>0</v>
      </c>
      <c r="N120" s="9" t="b">
        <v>0</v>
      </c>
      <c r="O120" s="7">
        <v>0</v>
      </c>
      <c r="P120" s="7" t="s">
        <v>666</v>
      </c>
      <c r="Q120" s="7"/>
      <c r="R120" s="8" t="s">
        <v>43</v>
      </c>
      <c r="S120" s="8" t="s">
        <v>1737</v>
      </c>
      <c r="T120" s="7" t="s">
        <v>33</v>
      </c>
      <c r="U120" s="7" t="s">
        <v>33</v>
      </c>
      <c r="V120" s="7" t="s">
        <v>2287</v>
      </c>
      <c r="W120" s="7" t="s">
        <v>35</v>
      </c>
      <c r="X120" s="7" t="s">
        <v>1544</v>
      </c>
      <c r="Y120" s="18" t="s">
        <v>2288</v>
      </c>
    </row>
    <row r="121" spans="1:25" ht="27" customHeight="1" x14ac:dyDescent="0.2">
      <c r="A121" s="22">
        <v>120</v>
      </c>
      <c r="B121" s="23" t="s">
        <v>2289</v>
      </c>
      <c r="C121" s="23" t="s">
        <v>2290</v>
      </c>
      <c r="D121" s="24" t="s">
        <v>86</v>
      </c>
      <c r="E121" s="23" t="s">
        <v>2291</v>
      </c>
      <c r="F121" s="23">
        <v>250</v>
      </c>
      <c r="G121" s="23">
        <v>300</v>
      </c>
      <c r="H121" s="23">
        <v>100</v>
      </c>
      <c r="I121" s="91">
        <v>10</v>
      </c>
      <c r="J121" s="23" t="s">
        <v>2292</v>
      </c>
      <c r="K121" s="23"/>
      <c r="L121" s="23" t="s">
        <v>2293</v>
      </c>
      <c r="M121" s="25" t="b">
        <v>0</v>
      </c>
      <c r="N121" s="25" t="b">
        <v>0</v>
      </c>
      <c r="O121" s="23">
        <v>0</v>
      </c>
      <c r="P121" s="23" t="s">
        <v>666</v>
      </c>
      <c r="Q121" s="23" t="s">
        <v>2294</v>
      </c>
      <c r="R121" s="24" t="s">
        <v>130</v>
      </c>
      <c r="S121" s="24" t="s">
        <v>1737</v>
      </c>
      <c r="T121" s="23" t="s">
        <v>33</v>
      </c>
      <c r="U121" s="23">
        <v>50</v>
      </c>
      <c r="V121" s="23" t="s">
        <v>1470</v>
      </c>
      <c r="W121" s="23" t="s">
        <v>111</v>
      </c>
      <c r="X121" s="23" t="s">
        <v>1544</v>
      </c>
      <c r="Y121" s="57" t="s">
        <v>2295</v>
      </c>
    </row>
  </sheetData>
  <conditionalFormatting sqref="D1">
    <cfRule type="containsText" dxfId="27" priority="1" operator="containsText" text="Dispara">
      <formula>NOT(ISERROR(SEARCH(("Dispara"),(D1))))</formula>
    </cfRule>
    <cfRule type="containsText" dxfId="26" priority="2" operator="containsText" text="Solar">
      <formula>NOT(ISERROR(SEARCH(("Solar"),(D1))))</formula>
    </cfRule>
    <cfRule type="containsText" dxfId="25" priority="3" operator="containsText" text="Defesa">
      <formula>NOT(ISERROR(SEARCH(("Defesa"),(D1))))</formula>
    </cfRule>
    <cfRule type="containsText" dxfId="24" priority="4" operator="containsText" text="Bomba">
      <formula>NOT(ISERROR(SEARCH(("Bomba"),(D1))))</formula>
    </cfRule>
    <cfRule type="containsText" dxfId="23" priority="5" operator="containsText" text="Gelo">
      <formula>NOT(ISERROR(SEARCH(("Gelo"),(D1))))</formula>
    </cfRule>
    <cfRule type="containsText" dxfId="22" priority="6" operator="containsText" text="Físico">
      <formula>NOT(ISERROR(SEARCH(("Físico"),(D1))))</formula>
    </cfRule>
    <cfRule type="containsText" dxfId="21" priority="7" operator="containsText" text="Veneno">
      <formula>NOT(ISERROR(SEARCH(("Veneno"),(D1))))</formula>
    </cfRule>
    <cfRule type="containsText" dxfId="20" priority="8" operator="containsText" text="Suporte">
      <formula>NOT(ISERROR(SEARCH(("Suporte"),(D1))))</formula>
    </cfRule>
    <cfRule type="containsText" dxfId="19" priority="9" operator="containsText" text="Mente">
      <formula>NOT(ISERROR(SEARCH(("Mente"),(D1))))</formula>
    </cfRule>
    <cfRule type="containsText" dxfId="18" priority="10" operator="containsText" text="Fogo">
      <formula>NOT(ISERROR(SEARCH(("Fogo"),(D1))))</formula>
    </cfRule>
    <cfRule type="containsText" dxfId="17" priority="11" operator="containsText" text="Perfurante">
      <formula>NOT(ISERROR(SEARCH(("Perfurante"),(D1))))</formula>
    </cfRule>
    <cfRule type="containsText" dxfId="16" priority="12" operator="containsText" text="Arremesso">
      <formula>NOT(ISERROR(SEARCH(("Arremesso"),(D1))))</formula>
    </cfRule>
    <cfRule type="containsText" dxfId="15" priority="13" operator="containsText" text="Elétrica">
      <formula>NOT(ISERROR(SEARCH(("Elétrica"),(D1))))</formula>
    </cfRule>
    <cfRule type="containsText" dxfId="14" priority="14" operator="containsText" text="Sombra">
      <formula>NOT(ISERROR(SEARCH(("Sombra"),(D1))))</formula>
    </cfRule>
  </conditionalFormatting>
  <dataValidations count="7">
    <dataValidation type="list" allowBlank="1" showErrorMessage="1" sqref="D2:D121" xr:uid="{00000000-0002-0000-0300-000000000000}">
      <formula1>"Dispara,Esclarecida,Endurecida,Bombarda,Arma,Refrea,Surra,Perfura,Aquecida,Resfriada,Fila,Envenenada,Encanta,Sombra"</formula1>
    </dataValidation>
    <dataValidation type="list" allowBlank="1" sqref="S2:S121" xr:uid="{00000000-0002-0000-0300-000001000000}">
      <formula1>"Chinese Natural,Chinese Sementium"</formula1>
    </dataValidation>
    <dataValidation type="list" allowBlank="1" sqref="W2:W121" xr:uid="{00000000-0002-0000-0300-000002000000}">
      <formula1>"Ranged,Sun,Tough,Vanguard,Special,Support"</formula1>
    </dataValidation>
    <dataValidation type="list" allowBlank="1" sqref="P2:P121" xr:uid="{00000000-0002-0000-0300-000003000000}">
      <formula1>"Common,Uncommon,Rare,Epic,Legendary,Mythical,Não especificado"</formula1>
    </dataValidation>
    <dataValidation type="custom" allowBlank="1" showDropDown="1" sqref="A2:A121 F2:H121 O2:O121" xr:uid="{00000000-0002-0000-0300-000004000000}">
      <formula1>AND(ISNUMBER(A2),(NOT(OR(NOT(ISERROR(DATEVALUE(A2))), AND(ISNUMBER(A2), LEFT(CELL("format", A2))="D")))))</formula1>
    </dataValidation>
    <dataValidation type="list" allowBlank="1" sqref="X2:X121" xr:uid="{00000000-0002-0000-0300-000005000000}">
      <formula1>"PvZ,PvZ 2,PvZ 2 Chinease,PvZ Heroes,PvZ GW,PvZ GW 2,PvZA,PvZ BfN,PvZ 3"</formula1>
    </dataValidation>
    <dataValidation type="list" allowBlank="1" showErrorMessage="1" sqref="R2:R121" xr:uid="{00000000-0002-0000-0300-000006000000}">
      <formula1>"Pea,Flower,Nut,Root,Leaf,Fruit,Bean,Berry,Vegetable,Murshroom,Cactus,Pepper,Wood"</formula1>
    </dataValidation>
  </dataValidations>
  <hyperlinks>
    <hyperlink ref="Y2" r:id="rId1" xr:uid="{00000000-0004-0000-0300-000000000000}"/>
    <hyperlink ref="Y3" r:id="rId2" xr:uid="{00000000-0004-0000-0300-000001000000}"/>
    <hyperlink ref="Y4" r:id="rId3" xr:uid="{00000000-0004-0000-0300-000002000000}"/>
    <hyperlink ref="Y5" r:id="rId4" xr:uid="{00000000-0004-0000-0300-000003000000}"/>
    <hyperlink ref="Y6" r:id="rId5" xr:uid="{00000000-0004-0000-0300-000004000000}"/>
    <hyperlink ref="Y7" r:id="rId6" xr:uid="{00000000-0004-0000-0300-000005000000}"/>
    <hyperlink ref="Y8" r:id="rId7" xr:uid="{00000000-0004-0000-0300-000006000000}"/>
    <hyperlink ref="Y9" r:id="rId8" xr:uid="{00000000-0004-0000-0300-000007000000}"/>
    <hyperlink ref="Y10" r:id="rId9" xr:uid="{00000000-0004-0000-0300-000008000000}"/>
    <hyperlink ref="Y11" r:id="rId10" xr:uid="{00000000-0004-0000-0300-000009000000}"/>
    <hyperlink ref="Y12" r:id="rId11" xr:uid="{00000000-0004-0000-0300-00000A000000}"/>
    <hyperlink ref="Y13" r:id="rId12" xr:uid="{00000000-0004-0000-0300-00000B000000}"/>
    <hyperlink ref="Y14" r:id="rId13" xr:uid="{00000000-0004-0000-0300-00000C000000}"/>
    <hyperlink ref="Y15" r:id="rId14" xr:uid="{00000000-0004-0000-0300-00000D000000}"/>
    <hyperlink ref="Y16" r:id="rId15" xr:uid="{00000000-0004-0000-0300-00000E000000}"/>
    <hyperlink ref="Y17" r:id="rId16" xr:uid="{00000000-0004-0000-0300-00000F000000}"/>
    <hyperlink ref="Y18" r:id="rId17" xr:uid="{00000000-0004-0000-0300-000010000000}"/>
    <hyperlink ref="Y19" r:id="rId18" xr:uid="{00000000-0004-0000-0300-000011000000}"/>
    <hyperlink ref="Y20" r:id="rId19" xr:uid="{00000000-0004-0000-0300-000012000000}"/>
    <hyperlink ref="Y21" r:id="rId20" xr:uid="{00000000-0004-0000-0300-000013000000}"/>
    <hyperlink ref="Y22" r:id="rId21" xr:uid="{00000000-0004-0000-0300-000014000000}"/>
    <hyperlink ref="Y23" r:id="rId22" xr:uid="{00000000-0004-0000-0300-000015000000}"/>
    <hyperlink ref="Y24" r:id="rId23" xr:uid="{00000000-0004-0000-0300-000016000000}"/>
    <hyperlink ref="Y25" r:id="rId24" xr:uid="{00000000-0004-0000-0300-000017000000}"/>
    <hyperlink ref="Y26" r:id="rId25" xr:uid="{00000000-0004-0000-0300-000018000000}"/>
    <hyperlink ref="Y27" r:id="rId26" xr:uid="{00000000-0004-0000-0300-000019000000}"/>
    <hyperlink ref="Y28" r:id="rId27" xr:uid="{00000000-0004-0000-0300-00001A000000}"/>
    <hyperlink ref="Y29" r:id="rId28" xr:uid="{00000000-0004-0000-0300-00001B000000}"/>
    <hyperlink ref="Y30" r:id="rId29" xr:uid="{00000000-0004-0000-0300-00001C000000}"/>
    <hyperlink ref="Y31" r:id="rId30" xr:uid="{00000000-0004-0000-0300-00001D000000}"/>
    <hyperlink ref="Y32" r:id="rId31" xr:uid="{00000000-0004-0000-0300-00001E000000}"/>
    <hyperlink ref="Y33" r:id="rId32" xr:uid="{00000000-0004-0000-0300-00001F000000}"/>
    <hyperlink ref="Y34" r:id="rId33" xr:uid="{00000000-0004-0000-0300-000020000000}"/>
    <hyperlink ref="Y35" r:id="rId34" xr:uid="{00000000-0004-0000-0300-000021000000}"/>
    <hyperlink ref="Y36" r:id="rId35" xr:uid="{00000000-0004-0000-0300-000022000000}"/>
    <hyperlink ref="Y37" r:id="rId36" xr:uid="{00000000-0004-0000-0300-000023000000}"/>
    <hyperlink ref="Y38" r:id="rId37" xr:uid="{00000000-0004-0000-0300-000024000000}"/>
    <hyperlink ref="Y39" r:id="rId38" xr:uid="{00000000-0004-0000-0300-000025000000}"/>
    <hyperlink ref="Y40" r:id="rId39" xr:uid="{00000000-0004-0000-0300-000026000000}"/>
    <hyperlink ref="Y41" r:id="rId40" xr:uid="{00000000-0004-0000-0300-000027000000}"/>
    <hyperlink ref="Y42" r:id="rId41" xr:uid="{00000000-0004-0000-0300-000028000000}"/>
    <hyperlink ref="Y43" r:id="rId42" xr:uid="{00000000-0004-0000-0300-000029000000}"/>
    <hyperlink ref="Y44" r:id="rId43" xr:uid="{00000000-0004-0000-0300-00002A000000}"/>
    <hyperlink ref="Y45" r:id="rId44" xr:uid="{00000000-0004-0000-0300-00002B000000}"/>
    <hyperlink ref="Y46" r:id="rId45" xr:uid="{00000000-0004-0000-0300-00002C000000}"/>
    <hyperlink ref="Y47" r:id="rId46" xr:uid="{00000000-0004-0000-0300-00002D000000}"/>
    <hyperlink ref="Y48" r:id="rId47" xr:uid="{00000000-0004-0000-0300-00002E000000}"/>
    <hyperlink ref="Y49" r:id="rId48" xr:uid="{00000000-0004-0000-0300-00002F000000}"/>
    <hyperlink ref="Y50" r:id="rId49" xr:uid="{00000000-0004-0000-0300-000030000000}"/>
    <hyperlink ref="Y51" r:id="rId50" xr:uid="{00000000-0004-0000-0300-000031000000}"/>
    <hyperlink ref="Y52" r:id="rId51" xr:uid="{00000000-0004-0000-0300-000032000000}"/>
    <hyperlink ref="Y53" r:id="rId52" xr:uid="{00000000-0004-0000-0300-000033000000}"/>
    <hyperlink ref="Y54" r:id="rId53" xr:uid="{00000000-0004-0000-0300-000034000000}"/>
    <hyperlink ref="Y55" r:id="rId54" xr:uid="{00000000-0004-0000-0300-000035000000}"/>
    <hyperlink ref="Y56" r:id="rId55" xr:uid="{00000000-0004-0000-0300-000036000000}"/>
    <hyperlink ref="Y57" r:id="rId56" xr:uid="{00000000-0004-0000-0300-000037000000}"/>
    <hyperlink ref="Y58" r:id="rId57" xr:uid="{00000000-0004-0000-0300-000038000000}"/>
    <hyperlink ref="Y59" r:id="rId58" xr:uid="{00000000-0004-0000-0300-000039000000}"/>
    <hyperlink ref="Y60" r:id="rId59" xr:uid="{00000000-0004-0000-0300-00003A000000}"/>
    <hyperlink ref="Y61" r:id="rId60" xr:uid="{00000000-0004-0000-0300-00003B000000}"/>
    <hyperlink ref="Y62" r:id="rId61" xr:uid="{00000000-0004-0000-0300-00003C000000}"/>
    <hyperlink ref="Y63" r:id="rId62" xr:uid="{00000000-0004-0000-0300-00003D000000}"/>
    <hyperlink ref="Y64" r:id="rId63" xr:uid="{00000000-0004-0000-0300-00003E000000}"/>
    <hyperlink ref="Y65" r:id="rId64" xr:uid="{00000000-0004-0000-0300-00003F000000}"/>
    <hyperlink ref="Y66" r:id="rId65" xr:uid="{00000000-0004-0000-0300-000040000000}"/>
    <hyperlink ref="Y67" r:id="rId66" xr:uid="{00000000-0004-0000-0300-000041000000}"/>
    <hyperlink ref="Y68" r:id="rId67" xr:uid="{00000000-0004-0000-0300-000042000000}"/>
    <hyperlink ref="Y69" r:id="rId68" xr:uid="{00000000-0004-0000-0300-000043000000}"/>
    <hyperlink ref="Y70" r:id="rId69" xr:uid="{00000000-0004-0000-0300-000044000000}"/>
    <hyperlink ref="Y71" r:id="rId70" xr:uid="{00000000-0004-0000-0300-000045000000}"/>
    <hyperlink ref="Y72" r:id="rId71" xr:uid="{00000000-0004-0000-0300-000046000000}"/>
    <hyperlink ref="Y73" r:id="rId72" xr:uid="{00000000-0004-0000-0300-000047000000}"/>
    <hyperlink ref="Y74" r:id="rId73" xr:uid="{00000000-0004-0000-0300-000048000000}"/>
    <hyperlink ref="Y75" r:id="rId74" xr:uid="{00000000-0004-0000-0300-000049000000}"/>
    <hyperlink ref="Y76" r:id="rId75" xr:uid="{00000000-0004-0000-0300-00004A000000}"/>
    <hyperlink ref="Y77" r:id="rId76" xr:uid="{00000000-0004-0000-0300-00004B000000}"/>
    <hyperlink ref="Y78" r:id="rId77" xr:uid="{00000000-0004-0000-0300-00004C000000}"/>
    <hyperlink ref="Y79" r:id="rId78" xr:uid="{00000000-0004-0000-0300-00004D000000}"/>
    <hyperlink ref="Y80" r:id="rId79" xr:uid="{00000000-0004-0000-0300-00004E000000}"/>
    <hyperlink ref="Y81" r:id="rId80" xr:uid="{00000000-0004-0000-0300-00004F000000}"/>
    <hyperlink ref="Y82" r:id="rId81" xr:uid="{00000000-0004-0000-0300-000050000000}"/>
    <hyperlink ref="Y83" r:id="rId82" xr:uid="{00000000-0004-0000-0300-000051000000}"/>
    <hyperlink ref="Y84" r:id="rId83" xr:uid="{00000000-0004-0000-0300-000052000000}"/>
    <hyperlink ref="Y85" r:id="rId84" xr:uid="{00000000-0004-0000-0300-000053000000}"/>
    <hyperlink ref="Y86" r:id="rId85" xr:uid="{00000000-0004-0000-0300-000054000000}"/>
    <hyperlink ref="Y87" r:id="rId86" xr:uid="{00000000-0004-0000-0300-000055000000}"/>
    <hyperlink ref="Y88" r:id="rId87" xr:uid="{00000000-0004-0000-0300-000056000000}"/>
    <hyperlink ref="Y89" r:id="rId88" xr:uid="{00000000-0004-0000-0300-000057000000}"/>
    <hyperlink ref="Y90" r:id="rId89" xr:uid="{00000000-0004-0000-0300-000058000000}"/>
    <hyperlink ref="Y91" r:id="rId90" xr:uid="{00000000-0004-0000-0300-000059000000}"/>
    <hyperlink ref="Y92" r:id="rId91" xr:uid="{00000000-0004-0000-0300-00005A000000}"/>
    <hyperlink ref="Y93" r:id="rId92" xr:uid="{00000000-0004-0000-0300-00005B000000}"/>
    <hyperlink ref="Y94" r:id="rId93" xr:uid="{00000000-0004-0000-0300-00005C000000}"/>
    <hyperlink ref="Y95" r:id="rId94" xr:uid="{00000000-0004-0000-0300-00005D000000}"/>
    <hyperlink ref="Y96" r:id="rId95" xr:uid="{00000000-0004-0000-0300-00005E000000}"/>
    <hyperlink ref="Y97" r:id="rId96" xr:uid="{00000000-0004-0000-0300-00005F000000}"/>
    <hyperlink ref="Y98" r:id="rId97" xr:uid="{00000000-0004-0000-0300-000060000000}"/>
    <hyperlink ref="Y99" r:id="rId98" xr:uid="{00000000-0004-0000-0300-000061000000}"/>
    <hyperlink ref="Y100" r:id="rId99" xr:uid="{00000000-0004-0000-0300-000062000000}"/>
    <hyperlink ref="Y101" r:id="rId100" xr:uid="{00000000-0004-0000-0300-000063000000}"/>
    <hyperlink ref="Y102" r:id="rId101" xr:uid="{00000000-0004-0000-0300-000064000000}"/>
    <hyperlink ref="Y103" r:id="rId102" xr:uid="{00000000-0004-0000-0300-000065000000}"/>
    <hyperlink ref="Y104" r:id="rId103" xr:uid="{00000000-0004-0000-0300-000066000000}"/>
    <hyperlink ref="Y105" r:id="rId104" xr:uid="{00000000-0004-0000-0300-000067000000}"/>
    <hyperlink ref="Y106" r:id="rId105" xr:uid="{00000000-0004-0000-0300-000068000000}"/>
    <hyperlink ref="Y107" r:id="rId106" xr:uid="{00000000-0004-0000-0300-000069000000}"/>
    <hyperlink ref="Y108" r:id="rId107" xr:uid="{00000000-0004-0000-0300-00006A000000}"/>
    <hyperlink ref="Y109" r:id="rId108" xr:uid="{00000000-0004-0000-0300-00006B000000}"/>
    <hyperlink ref="Y110" r:id="rId109" xr:uid="{00000000-0004-0000-0300-00006C000000}"/>
    <hyperlink ref="Y111" r:id="rId110" xr:uid="{00000000-0004-0000-0300-00006D000000}"/>
    <hyperlink ref="Y112" r:id="rId111" xr:uid="{00000000-0004-0000-0300-00006E000000}"/>
    <hyperlink ref="Y113" r:id="rId112" xr:uid="{00000000-0004-0000-0300-00006F000000}"/>
    <hyperlink ref="Y114" r:id="rId113" xr:uid="{00000000-0004-0000-0300-000070000000}"/>
    <hyperlink ref="Y115" r:id="rId114" xr:uid="{00000000-0004-0000-0300-000071000000}"/>
    <hyperlink ref="Y116" r:id="rId115" xr:uid="{00000000-0004-0000-0300-000072000000}"/>
    <hyperlink ref="Y117" r:id="rId116" xr:uid="{00000000-0004-0000-0300-000073000000}"/>
    <hyperlink ref="Y118" r:id="rId117" xr:uid="{00000000-0004-0000-0300-000074000000}"/>
    <hyperlink ref="Y119" r:id="rId118" xr:uid="{00000000-0004-0000-0300-000075000000}"/>
    <hyperlink ref="Y120" r:id="rId119" xr:uid="{00000000-0004-0000-0300-000076000000}"/>
    <hyperlink ref="Y121" r:id="rId120" xr:uid="{00000000-0004-0000-0300-000077000000}"/>
  </hyperlinks>
  <pageMargins left="0.511811024" right="0.511811024" top="0.78740157499999996" bottom="0.78740157499999996" header="0.31496062000000002" footer="0.31496062000000002"/>
  <tableParts count="1">
    <tablePart r:id="rId12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258"/>
  <sheetViews>
    <sheetView workbookViewId="0"/>
  </sheetViews>
  <sheetFormatPr defaultColWidth="12.5703125" defaultRowHeight="15.75" customHeight="1" x14ac:dyDescent="0.2"/>
  <cols>
    <col min="14" max="15" width="13.7109375" customWidth="1"/>
  </cols>
  <sheetData>
    <row r="1" spans="1:15" ht="12.75" x14ac:dyDescent="0.2">
      <c r="A1" s="1" t="s">
        <v>0</v>
      </c>
      <c r="B1" s="2" t="s">
        <v>1</v>
      </c>
      <c r="C1" s="2" t="s">
        <v>2</v>
      </c>
      <c r="D1" s="3" t="s">
        <v>3</v>
      </c>
      <c r="E1" s="4" t="s">
        <v>2296</v>
      </c>
      <c r="F1" s="4" t="s">
        <v>2297</v>
      </c>
      <c r="G1" s="4" t="s">
        <v>2298</v>
      </c>
      <c r="H1" s="4" t="s">
        <v>2299</v>
      </c>
      <c r="I1" s="4" t="s">
        <v>2300</v>
      </c>
      <c r="J1" s="2" t="s">
        <v>5</v>
      </c>
      <c r="K1" s="2" t="s">
        <v>2301</v>
      </c>
      <c r="L1" s="2" t="s">
        <v>2302</v>
      </c>
      <c r="M1" s="2" t="s">
        <v>4</v>
      </c>
      <c r="N1" s="4" t="s">
        <v>15</v>
      </c>
      <c r="O1" s="58" t="s">
        <v>18</v>
      </c>
    </row>
    <row r="2" spans="1:15" ht="28.5" customHeight="1" x14ac:dyDescent="0.2">
      <c r="A2" s="6">
        <v>1</v>
      </c>
      <c r="B2" s="7" t="s">
        <v>25</v>
      </c>
      <c r="C2" s="7" t="s">
        <v>26</v>
      </c>
      <c r="D2" s="8" t="s">
        <v>2303</v>
      </c>
      <c r="E2" s="7" t="s">
        <v>31</v>
      </c>
      <c r="F2" s="7" t="s">
        <v>2304</v>
      </c>
      <c r="G2" s="7" t="s">
        <v>2305</v>
      </c>
      <c r="H2" s="7" t="s">
        <v>2304</v>
      </c>
      <c r="I2" s="7" t="s">
        <v>2304</v>
      </c>
      <c r="J2" s="7">
        <v>1</v>
      </c>
      <c r="K2" s="7">
        <v>1</v>
      </c>
      <c r="L2" s="7">
        <v>1</v>
      </c>
      <c r="M2" s="7" t="s">
        <v>28</v>
      </c>
      <c r="N2" s="7" t="s">
        <v>30</v>
      </c>
      <c r="O2" s="59" t="s">
        <v>2306</v>
      </c>
    </row>
    <row r="3" spans="1:15" ht="28.5" customHeight="1" x14ac:dyDescent="0.2">
      <c r="A3" s="11">
        <v>2</v>
      </c>
      <c r="B3" s="12" t="s">
        <v>2307</v>
      </c>
      <c r="C3" s="12" t="s">
        <v>2308</v>
      </c>
      <c r="D3" s="13" t="s">
        <v>2303</v>
      </c>
      <c r="E3" s="12" t="s">
        <v>2309</v>
      </c>
      <c r="F3" s="12" t="s">
        <v>2304</v>
      </c>
      <c r="G3" s="12" t="s">
        <v>2305</v>
      </c>
      <c r="H3" s="12" t="s">
        <v>2310</v>
      </c>
      <c r="I3" s="12" t="s">
        <v>2311</v>
      </c>
      <c r="J3" s="12">
        <v>1</v>
      </c>
      <c r="K3" s="12">
        <v>0</v>
      </c>
      <c r="L3" s="12">
        <v>3</v>
      </c>
      <c r="M3" s="12" t="s">
        <v>2312</v>
      </c>
      <c r="N3" s="12" t="s">
        <v>30</v>
      </c>
      <c r="O3" s="60" t="s">
        <v>2306</v>
      </c>
    </row>
    <row r="4" spans="1:15" ht="28.5" customHeight="1" x14ac:dyDescent="0.2">
      <c r="A4" s="6">
        <v>3</v>
      </c>
      <c r="B4" s="7" t="s">
        <v>2313</v>
      </c>
      <c r="C4" s="7" t="s">
        <v>2314</v>
      </c>
      <c r="D4" s="8" t="s">
        <v>2303</v>
      </c>
      <c r="E4" s="7" t="s">
        <v>2315</v>
      </c>
      <c r="F4" s="7" t="s">
        <v>2304</v>
      </c>
      <c r="G4" s="7" t="s">
        <v>2305</v>
      </c>
      <c r="H4" s="7" t="s">
        <v>2304</v>
      </c>
      <c r="I4" s="7" t="s">
        <v>2316</v>
      </c>
      <c r="J4" s="7">
        <v>2</v>
      </c>
      <c r="K4" s="7">
        <v>1</v>
      </c>
      <c r="L4" s="7">
        <v>3</v>
      </c>
      <c r="M4" s="7" t="s">
        <v>2317</v>
      </c>
      <c r="N4" s="7" t="s">
        <v>30</v>
      </c>
      <c r="O4" s="59" t="s">
        <v>2306</v>
      </c>
    </row>
    <row r="5" spans="1:15" ht="28.5" customHeight="1" x14ac:dyDescent="0.2">
      <c r="A5" s="11">
        <v>4</v>
      </c>
      <c r="B5" s="12" t="s">
        <v>2318</v>
      </c>
      <c r="C5" s="12" t="s">
        <v>2319</v>
      </c>
      <c r="D5" s="13" t="s">
        <v>2303</v>
      </c>
      <c r="E5" s="12" t="s">
        <v>2304</v>
      </c>
      <c r="F5" s="12" t="s">
        <v>2304</v>
      </c>
      <c r="G5" s="12" t="s">
        <v>2320</v>
      </c>
      <c r="H5" s="12" t="s">
        <v>2304</v>
      </c>
      <c r="I5" s="12" t="s">
        <v>2321</v>
      </c>
      <c r="J5" s="12">
        <v>3</v>
      </c>
      <c r="K5" s="12"/>
      <c r="L5" s="12"/>
      <c r="M5" s="12" t="s">
        <v>2322</v>
      </c>
      <c r="N5" s="12" t="s">
        <v>30</v>
      </c>
      <c r="O5" s="60" t="s">
        <v>2306</v>
      </c>
    </row>
    <row r="6" spans="1:15" ht="28.5" customHeight="1" x14ac:dyDescent="0.2">
      <c r="A6" s="6">
        <v>5</v>
      </c>
      <c r="B6" s="7" t="s">
        <v>2323</v>
      </c>
      <c r="C6" s="7" t="s">
        <v>2324</v>
      </c>
      <c r="D6" s="8" t="s">
        <v>2303</v>
      </c>
      <c r="E6" s="7" t="s">
        <v>43</v>
      </c>
      <c r="F6" s="7" t="s">
        <v>2304</v>
      </c>
      <c r="G6" s="7" t="s">
        <v>2320</v>
      </c>
      <c r="H6" s="7" t="s">
        <v>2304</v>
      </c>
      <c r="I6" s="7" t="s">
        <v>2325</v>
      </c>
      <c r="J6" s="7">
        <v>3</v>
      </c>
      <c r="K6" s="7"/>
      <c r="L6" s="7"/>
      <c r="M6" s="7" t="s">
        <v>2326</v>
      </c>
      <c r="N6" s="7" t="s">
        <v>30</v>
      </c>
      <c r="O6" s="59" t="s">
        <v>2306</v>
      </c>
    </row>
    <row r="7" spans="1:15" ht="28.5" customHeight="1" x14ac:dyDescent="0.2">
      <c r="A7" s="11">
        <v>6</v>
      </c>
      <c r="B7" s="12" t="s">
        <v>2327</v>
      </c>
      <c r="C7" s="12" t="s">
        <v>2328</v>
      </c>
      <c r="D7" s="13" t="s">
        <v>2303</v>
      </c>
      <c r="E7" s="12" t="s">
        <v>2329</v>
      </c>
      <c r="F7" s="12" t="s">
        <v>2304</v>
      </c>
      <c r="G7" s="12" t="s">
        <v>2305</v>
      </c>
      <c r="H7" s="12" t="s">
        <v>2304</v>
      </c>
      <c r="I7" s="12" t="s">
        <v>2330</v>
      </c>
      <c r="J7" s="12">
        <v>3</v>
      </c>
      <c r="K7" s="12">
        <v>2</v>
      </c>
      <c r="L7" s="12">
        <v>1</v>
      </c>
      <c r="M7" s="12" t="s">
        <v>2331</v>
      </c>
      <c r="N7" s="12" t="s">
        <v>30</v>
      </c>
      <c r="O7" s="60" t="s">
        <v>2306</v>
      </c>
    </row>
    <row r="8" spans="1:15" ht="28.5" customHeight="1" x14ac:dyDescent="0.2">
      <c r="A8" s="6">
        <v>7</v>
      </c>
      <c r="B8" s="7" t="s">
        <v>114</v>
      </c>
      <c r="C8" s="7" t="s">
        <v>2332</v>
      </c>
      <c r="D8" s="8" t="s">
        <v>2303</v>
      </c>
      <c r="E8" s="7" t="s">
        <v>31</v>
      </c>
      <c r="F8" s="7" t="s">
        <v>2304</v>
      </c>
      <c r="G8" s="7" t="s">
        <v>2305</v>
      </c>
      <c r="H8" s="7" t="s">
        <v>2333</v>
      </c>
      <c r="I8" s="30" t="s">
        <v>2304</v>
      </c>
      <c r="J8" s="7">
        <v>3</v>
      </c>
      <c r="K8" s="7">
        <v>2</v>
      </c>
      <c r="L8" s="7">
        <v>2</v>
      </c>
      <c r="M8" s="7" t="s">
        <v>2334</v>
      </c>
      <c r="N8" s="7" t="s">
        <v>30</v>
      </c>
      <c r="O8" s="59" t="s">
        <v>2306</v>
      </c>
    </row>
    <row r="9" spans="1:15" ht="28.5" customHeight="1" x14ac:dyDescent="0.2">
      <c r="A9" s="11">
        <v>8</v>
      </c>
      <c r="B9" s="12" t="s">
        <v>2335</v>
      </c>
      <c r="C9" s="12" t="s">
        <v>2336</v>
      </c>
      <c r="D9" s="13" t="s">
        <v>2337</v>
      </c>
      <c r="E9" s="12" t="s">
        <v>43</v>
      </c>
      <c r="F9" s="12" t="s">
        <v>2304</v>
      </c>
      <c r="G9" s="12" t="s">
        <v>2305</v>
      </c>
      <c r="H9" s="12" t="s">
        <v>2304</v>
      </c>
      <c r="I9" s="12" t="s">
        <v>2304</v>
      </c>
      <c r="J9" s="12">
        <v>1</v>
      </c>
      <c r="K9" s="12">
        <v>1</v>
      </c>
      <c r="L9" s="12">
        <v>1</v>
      </c>
      <c r="M9" s="12" t="s">
        <v>2338</v>
      </c>
      <c r="N9" s="12" t="s">
        <v>30</v>
      </c>
      <c r="O9" s="60" t="s">
        <v>2306</v>
      </c>
    </row>
    <row r="10" spans="1:15" ht="28.5" customHeight="1" x14ac:dyDescent="0.2">
      <c r="A10" s="6">
        <v>9</v>
      </c>
      <c r="B10" s="7" t="s">
        <v>38</v>
      </c>
      <c r="C10" s="7" t="s">
        <v>39</v>
      </c>
      <c r="D10" s="8" t="s">
        <v>2337</v>
      </c>
      <c r="E10" s="7" t="s">
        <v>43</v>
      </c>
      <c r="F10" s="7" t="s">
        <v>2304</v>
      </c>
      <c r="G10" s="7" t="s">
        <v>2305</v>
      </c>
      <c r="H10" s="7" t="s">
        <v>2339</v>
      </c>
      <c r="I10" s="7" t="s">
        <v>2340</v>
      </c>
      <c r="J10" s="7">
        <v>1</v>
      </c>
      <c r="K10" s="7">
        <v>0</v>
      </c>
      <c r="L10" s="7">
        <v>1</v>
      </c>
      <c r="M10" s="7" t="s">
        <v>2341</v>
      </c>
      <c r="N10" s="7" t="s">
        <v>30</v>
      </c>
      <c r="O10" s="59" t="s">
        <v>2306</v>
      </c>
    </row>
    <row r="11" spans="1:15" ht="28.5" customHeight="1" x14ac:dyDescent="0.2">
      <c r="A11" s="11">
        <v>10</v>
      </c>
      <c r="B11" s="12" t="s">
        <v>2342</v>
      </c>
      <c r="C11" s="12" t="s">
        <v>2343</v>
      </c>
      <c r="D11" s="13" t="s">
        <v>2337</v>
      </c>
      <c r="E11" s="12" t="s">
        <v>52</v>
      </c>
      <c r="F11" s="12" t="s">
        <v>2304</v>
      </c>
      <c r="G11" s="12" t="s">
        <v>2305</v>
      </c>
      <c r="H11" s="12" t="s">
        <v>2304</v>
      </c>
      <c r="I11" s="12" t="s">
        <v>2344</v>
      </c>
      <c r="J11" s="12">
        <v>3</v>
      </c>
      <c r="K11" s="12">
        <v>2</v>
      </c>
      <c r="L11" s="12">
        <v>2</v>
      </c>
      <c r="M11" s="12" t="s">
        <v>2345</v>
      </c>
      <c r="N11" s="12" t="s">
        <v>30</v>
      </c>
      <c r="O11" s="60" t="s">
        <v>2306</v>
      </c>
    </row>
    <row r="12" spans="1:15" ht="28.5" customHeight="1" x14ac:dyDescent="0.2">
      <c r="A12" s="6">
        <v>11</v>
      </c>
      <c r="B12" s="7" t="s">
        <v>684</v>
      </c>
      <c r="C12" s="7" t="s">
        <v>685</v>
      </c>
      <c r="D12" s="8" t="s">
        <v>2337</v>
      </c>
      <c r="E12" s="7" t="s">
        <v>684</v>
      </c>
      <c r="F12" s="7" t="s">
        <v>2304</v>
      </c>
      <c r="G12" s="7" t="s">
        <v>2320</v>
      </c>
      <c r="H12" s="7" t="s">
        <v>2304</v>
      </c>
      <c r="I12" s="7" t="s">
        <v>2346</v>
      </c>
      <c r="J12" s="7">
        <v>5</v>
      </c>
      <c r="K12" s="7"/>
      <c r="L12" s="7"/>
      <c r="M12" s="7" t="s">
        <v>2347</v>
      </c>
      <c r="N12" s="7" t="s">
        <v>30</v>
      </c>
      <c r="O12" s="59" t="s">
        <v>2306</v>
      </c>
    </row>
    <row r="13" spans="1:15" ht="28.5" customHeight="1" x14ac:dyDescent="0.2">
      <c r="A13" s="11">
        <v>12</v>
      </c>
      <c r="B13" s="12" t="s">
        <v>2348</v>
      </c>
      <c r="C13" s="12" t="s">
        <v>2349</v>
      </c>
      <c r="D13" s="13" t="s">
        <v>2337</v>
      </c>
      <c r="E13" s="12" t="s">
        <v>684</v>
      </c>
      <c r="F13" s="12" t="s">
        <v>2304</v>
      </c>
      <c r="G13" s="12" t="s">
        <v>2305</v>
      </c>
      <c r="H13" s="12" t="s">
        <v>2304</v>
      </c>
      <c r="I13" s="12" t="s">
        <v>2304</v>
      </c>
      <c r="J13" s="12">
        <v>6</v>
      </c>
      <c r="K13" s="12">
        <v>6</v>
      </c>
      <c r="L13" s="12">
        <v>5</v>
      </c>
      <c r="M13" s="12" t="s">
        <v>2350</v>
      </c>
      <c r="N13" s="12" t="s">
        <v>30</v>
      </c>
      <c r="O13" s="60" t="s">
        <v>2306</v>
      </c>
    </row>
    <row r="14" spans="1:15" ht="28.5" customHeight="1" x14ac:dyDescent="0.2">
      <c r="A14" s="6">
        <v>13</v>
      </c>
      <c r="B14" s="7" t="s">
        <v>2351</v>
      </c>
      <c r="C14" s="7" t="s">
        <v>2352</v>
      </c>
      <c r="D14" s="8" t="s">
        <v>2353</v>
      </c>
      <c r="E14" s="7" t="s">
        <v>52</v>
      </c>
      <c r="F14" s="7" t="s">
        <v>2304</v>
      </c>
      <c r="G14" s="7" t="s">
        <v>2305</v>
      </c>
      <c r="H14" s="7" t="s">
        <v>2304</v>
      </c>
      <c r="I14" s="7" t="s">
        <v>2304</v>
      </c>
      <c r="J14" s="7">
        <v>1</v>
      </c>
      <c r="K14" s="7">
        <v>1</v>
      </c>
      <c r="L14" s="7">
        <v>1</v>
      </c>
      <c r="M14" s="7" t="s">
        <v>2354</v>
      </c>
      <c r="N14" s="7" t="s">
        <v>30</v>
      </c>
      <c r="O14" s="59" t="s">
        <v>2306</v>
      </c>
    </row>
    <row r="15" spans="1:15" ht="28.5" customHeight="1" x14ac:dyDescent="0.2">
      <c r="A15" s="11">
        <v>14</v>
      </c>
      <c r="B15" s="12" t="s">
        <v>2355</v>
      </c>
      <c r="C15" s="12" t="s">
        <v>198</v>
      </c>
      <c r="D15" s="13" t="s">
        <v>2353</v>
      </c>
      <c r="E15" s="12" t="s">
        <v>158</v>
      </c>
      <c r="F15" s="12" t="s">
        <v>31</v>
      </c>
      <c r="G15" s="12" t="s">
        <v>2305</v>
      </c>
      <c r="H15" s="12" t="s">
        <v>2356</v>
      </c>
      <c r="I15" s="12" t="s">
        <v>2304</v>
      </c>
      <c r="J15" s="12">
        <v>1</v>
      </c>
      <c r="K15" s="12">
        <v>1</v>
      </c>
      <c r="L15" s="12">
        <v>2</v>
      </c>
      <c r="M15" s="12" t="s">
        <v>2357</v>
      </c>
      <c r="N15" s="12" t="s">
        <v>30</v>
      </c>
      <c r="O15" s="60" t="s">
        <v>2306</v>
      </c>
    </row>
    <row r="16" spans="1:15" ht="28.5" customHeight="1" x14ac:dyDescent="0.2">
      <c r="A16" s="6">
        <v>15</v>
      </c>
      <c r="B16" s="7" t="s">
        <v>2358</v>
      </c>
      <c r="C16" s="7" t="s">
        <v>2359</v>
      </c>
      <c r="D16" s="8" t="s">
        <v>2353</v>
      </c>
      <c r="E16" s="7" t="s">
        <v>52</v>
      </c>
      <c r="F16" s="7" t="s">
        <v>2304</v>
      </c>
      <c r="G16" s="7" t="s">
        <v>2305</v>
      </c>
      <c r="H16" s="7" t="s">
        <v>2339</v>
      </c>
      <c r="I16" s="7" t="s">
        <v>2304</v>
      </c>
      <c r="J16" s="7">
        <v>1</v>
      </c>
      <c r="K16" s="7">
        <v>0</v>
      </c>
      <c r="L16" s="7">
        <v>6</v>
      </c>
      <c r="M16" s="7" t="s">
        <v>2360</v>
      </c>
      <c r="N16" s="7" t="s">
        <v>30</v>
      </c>
      <c r="O16" s="59" t="s">
        <v>2306</v>
      </c>
    </row>
    <row r="17" spans="1:15" ht="28.5" customHeight="1" x14ac:dyDescent="0.2">
      <c r="A17" s="11">
        <v>16</v>
      </c>
      <c r="B17" s="12" t="s">
        <v>2361</v>
      </c>
      <c r="C17" s="12" t="s">
        <v>2362</v>
      </c>
      <c r="D17" s="13" t="s">
        <v>2353</v>
      </c>
      <c r="E17" s="12" t="s">
        <v>52</v>
      </c>
      <c r="F17" s="12" t="s">
        <v>2304</v>
      </c>
      <c r="G17" s="12" t="s">
        <v>2305</v>
      </c>
      <c r="H17" s="12" t="s">
        <v>2304</v>
      </c>
      <c r="I17" s="12" t="s">
        <v>2304</v>
      </c>
      <c r="J17" s="12">
        <v>2</v>
      </c>
      <c r="K17" s="12">
        <v>2</v>
      </c>
      <c r="L17" s="12">
        <v>3</v>
      </c>
      <c r="M17" s="12" t="s">
        <v>2363</v>
      </c>
      <c r="N17" s="12" t="s">
        <v>30</v>
      </c>
      <c r="O17" s="60" t="s">
        <v>2306</v>
      </c>
    </row>
    <row r="18" spans="1:15" ht="28.5" customHeight="1" x14ac:dyDescent="0.2">
      <c r="A18" s="6">
        <v>17</v>
      </c>
      <c r="B18" s="7" t="s">
        <v>2364</v>
      </c>
      <c r="C18" s="7" t="s">
        <v>2365</v>
      </c>
      <c r="D18" s="8" t="s">
        <v>2353</v>
      </c>
      <c r="E18" s="7" t="s">
        <v>130</v>
      </c>
      <c r="F18" s="7" t="s">
        <v>2304</v>
      </c>
      <c r="G18" s="7" t="s">
        <v>2305</v>
      </c>
      <c r="H18" s="7" t="s">
        <v>2304</v>
      </c>
      <c r="I18" s="7" t="s">
        <v>2366</v>
      </c>
      <c r="J18" s="7">
        <v>3</v>
      </c>
      <c r="K18" s="7">
        <v>0</v>
      </c>
      <c r="L18" s="7">
        <v>3</v>
      </c>
      <c r="M18" s="7" t="s">
        <v>2367</v>
      </c>
      <c r="N18" s="7" t="s">
        <v>30</v>
      </c>
      <c r="O18" s="59" t="s">
        <v>2306</v>
      </c>
    </row>
    <row r="19" spans="1:15" ht="28.5" customHeight="1" x14ac:dyDescent="0.2">
      <c r="A19" s="11">
        <v>18</v>
      </c>
      <c r="B19" s="12" t="s">
        <v>2368</v>
      </c>
      <c r="C19" s="12" t="s">
        <v>2369</v>
      </c>
      <c r="D19" s="13" t="s">
        <v>2370</v>
      </c>
      <c r="E19" s="12" t="s">
        <v>2329</v>
      </c>
      <c r="F19" s="12" t="s">
        <v>2304</v>
      </c>
      <c r="G19" s="12" t="s">
        <v>2305</v>
      </c>
      <c r="H19" s="12" t="s">
        <v>2304</v>
      </c>
      <c r="I19" s="12" t="s">
        <v>2304</v>
      </c>
      <c r="J19" s="12">
        <v>1</v>
      </c>
      <c r="K19" s="12">
        <v>1</v>
      </c>
      <c r="L19" s="12">
        <v>1</v>
      </c>
      <c r="M19" s="12" t="s">
        <v>2371</v>
      </c>
      <c r="N19" s="12" t="s">
        <v>30</v>
      </c>
      <c r="O19" s="60" t="s">
        <v>2306</v>
      </c>
    </row>
    <row r="20" spans="1:15" ht="28.5" customHeight="1" x14ac:dyDescent="0.2">
      <c r="A20" s="6">
        <v>19</v>
      </c>
      <c r="B20" s="7" t="s">
        <v>2372</v>
      </c>
      <c r="C20" s="7" t="s">
        <v>2373</v>
      </c>
      <c r="D20" s="8" t="s">
        <v>2370</v>
      </c>
      <c r="E20" s="7" t="s">
        <v>187</v>
      </c>
      <c r="F20" s="7" t="s">
        <v>2304</v>
      </c>
      <c r="G20" s="7" t="s">
        <v>2320</v>
      </c>
      <c r="H20" s="7" t="s">
        <v>2304</v>
      </c>
      <c r="I20" s="7" t="s">
        <v>2374</v>
      </c>
      <c r="J20" s="7">
        <v>2</v>
      </c>
      <c r="K20" s="7"/>
      <c r="L20" s="7"/>
      <c r="M20" s="7" t="s">
        <v>2375</v>
      </c>
      <c r="N20" s="7" t="s">
        <v>30</v>
      </c>
      <c r="O20" s="59" t="s">
        <v>2306</v>
      </c>
    </row>
    <row r="21" spans="1:15" ht="28.5" customHeight="1" x14ac:dyDescent="0.2">
      <c r="A21" s="11">
        <v>20</v>
      </c>
      <c r="B21" s="12" t="s">
        <v>2376</v>
      </c>
      <c r="C21" s="12" t="s">
        <v>2377</v>
      </c>
      <c r="D21" s="13" t="s">
        <v>2370</v>
      </c>
      <c r="E21" s="12" t="s">
        <v>2329</v>
      </c>
      <c r="F21" s="12" t="s">
        <v>2304</v>
      </c>
      <c r="G21" s="12" t="s">
        <v>2305</v>
      </c>
      <c r="H21" s="12" t="s">
        <v>2304</v>
      </c>
      <c r="I21" s="12" t="s">
        <v>2378</v>
      </c>
      <c r="J21" s="12">
        <v>2</v>
      </c>
      <c r="K21" s="12">
        <v>1</v>
      </c>
      <c r="L21" s="12">
        <v>1</v>
      </c>
      <c r="M21" s="12" t="s">
        <v>2379</v>
      </c>
      <c r="N21" s="12" t="s">
        <v>30</v>
      </c>
      <c r="O21" s="60" t="s">
        <v>2306</v>
      </c>
    </row>
    <row r="22" spans="1:15" ht="28.5" customHeight="1" x14ac:dyDescent="0.2">
      <c r="A22" s="6">
        <v>21</v>
      </c>
      <c r="B22" s="7" t="s">
        <v>2380</v>
      </c>
      <c r="C22" s="7" t="s">
        <v>2381</v>
      </c>
      <c r="D22" s="8" t="s">
        <v>2370</v>
      </c>
      <c r="E22" s="7" t="s">
        <v>2382</v>
      </c>
      <c r="F22" s="7" t="s">
        <v>2304</v>
      </c>
      <c r="G22" s="7" t="s">
        <v>2305</v>
      </c>
      <c r="H22" s="7" t="s">
        <v>2304</v>
      </c>
      <c r="I22" s="7" t="s">
        <v>2383</v>
      </c>
      <c r="J22" s="7">
        <v>2</v>
      </c>
      <c r="K22" s="7">
        <v>0</v>
      </c>
      <c r="L22" s="7">
        <v>1</v>
      </c>
      <c r="M22" s="7" t="s">
        <v>2384</v>
      </c>
      <c r="N22" s="7" t="s">
        <v>30</v>
      </c>
      <c r="O22" s="59" t="s">
        <v>2306</v>
      </c>
    </row>
    <row r="23" spans="1:15" ht="28.5" customHeight="1" x14ac:dyDescent="0.2">
      <c r="A23" s="11">
        <v>22</v>
      </c>
      <c r="B23" s="12" t="s">
        <v>2385</v>
      </c>
      <c r="C23" s="12" t="s">
        <v>2386</v>
      </c>
      <c r="D23" s="13" t="s">
        <v>2370</v>
      </c>
      <c r="E23" s="12" t="s">
        <v>130</v>
      </c>
      <c r="F23" s="12" t="s">
        <v>2304</v>
      </c>
      <c r="G23" s="12" t="s">
        <v>2305</v>
      </c>
      <c r="H23" s="12" t="s">
        <v>2304</v>
      </c>
      <c r="I23" s="12" t="s">
        <v>2304</v>
      </c>
      <c r="J23" s="12">
        <v>3</v>
      </c>
      <c r="K23" s="12">
        <v>4</v>
      </c>
      <c r="L23" s="12">
        <v>2</v>
      </c>
      <c r="M23" s="12" t="s">
        <v>2387</v>
      </c>
      <c r="N23" s="12" t="s">
        <v>30</v>
      </c>
      <c r="O23" s="60" t="s">
        <v>2306</v>
      </c>
    </row>
    <row r="24" spans="1:15" ht="28.5" customHeight="1" x14ac:dyDescent="0.2">
      <c r="A24" s="6">
        <v>23</v>
      </c>
      <c r="B24" s="7" t="s">
        <v>2388</v>
      </c>
      <c r="C24" s="7" t="s">
        <v>2389</v>
      </c>
      <c r="D24" s="8" t="s">
        <v>2390</v>
      </c>
      <c r="E24" s="7" t="s">
        <v>43</v>
      </c>
      <c r="F24" s="7" t="s">
        <v>2304</v>
      </c>
      <c r="G24" s="7" t="s">
        <v>2305</v>
      </c>
      <c r="H24" s="7" t="s">
        <v>2304</v>
      </c>
      <c r="I24" s="7" t="s">
        <v>2391</v>
      </c>
      <c r="J24" s="7">
        <v>1</v>
      </c>
      <c r="K24" s="7">
        <v>1</v>
      </c>
      <c r="L24" s="7">
        <v>2</v>
      </c>
      <c r="M24" s="7" t="s">
        <v>2392</v>
      </c>
      <c r="N24" s="7" t="s">
        <v>30</v>
      </c>
      <c r="O24" s="59" t="s">
        <v>2306</v>
      </c>
    </row>
    <row r="25" spans="1:15" ht="28.5" customHeight="1" x14ac:dyDescent="0.2">
      <c r="A25" s="11">
        <v>24</v>
      </c>
      <c r="B25" s="12" t="s">
        <v>2393</v>
      </c>
      <c r="C25" s="12" t="s">
        <v>2394</v>
      </c>
      <c r="D25" s="13" t="s">
        <v>2390</v>
      </c>
      <c r="E25" s="12" t="s">
        <v>158</v>
      </c>
      <c r="F25" s="12" t="s">
        <v>2304</v>
      </c>
      <c r="G25" s="12" t="s">
        <v>2305</v>
      </c>
      <c r="H25" s="12" t="s">
        <v>2304</v>
      </c>
      <c r="I25" s="12" t="s">
        <v>2304</v>
      </c>
      <c r="J25" s="12">
        <v>1</v>
      </c>
      <c r="K25" s="12">
        <v>1</v>
      </c>
      <c r="L25" s="12">
        <v>1</v>
      </c>
      <c r="M25" s="12" t="s">
        <v>2395</v>
      </c>
      <c r="N25" s="12" t="s">
        <v>30</v>
      </c>
      <c r="O25" s="60" t="s">
        <v>2306</v>
      </c>
    </row>
    <row r="26" spans="1:15" ht="28.5" customHeight="1" x14ac:dyDescent="0.2">
      <c r="A26" s="6">
        <v>25</v>
      </c>
      <c r="B26" s="7" t="s">
        <v>541</v>
      </c>
      <c r="C26" s="7" t="s">
        <v>542</v>
      </c>
      <c r="D26" s="8" t="s">
        <v>2390</v>
      </c>
      <c r="E26" s="7" t="s">
        <v>31</v>
      </c>
      <c r="F26" s="7" t="s">
        <v>2304</v>
      </c>
      <c r="G26" s="7" t="s">
        <v>2305</v>
      </c>
      <c r="H26" s="7" t="s">
        <v>2304</v>
      </c>
      <c r="I26" s="7" t="s">
        <v>2396</v>
      </c>
      <c r="J26" s="7">
        <v>2</v>
      </c>
      <c r="K26" s="7">
        <v>2</v>
      </c>
      <c r="L26" s="7">
        <v>2</v>
      </c>
      <c r="M26" s="7" t="s">
        <v>2397</v>
      </c>
      <c r="N26" s="7" t="s">
        <v>30</v>
      </c>
      <c r="O26" s="59" t="s">
        <v>2306</v>
      </c>
    </row>
    <row r="27" spans="1:15" ht="28.5" customHeight="1" x14ac:dyDescent="0.2">
      <c r="A27" s="11">
        <v>26</v>
      </c>
      <c r="B27" s="12" t="s">
        <v>1945</v>
      </c>
      <c r="C27" s="12" t="s">
        <v>2398</v>
      </c>
      <c r="D27" s="13" t="s">
        <v>2390</v>
      </c>
      <c r="E27" s="12" t="s">
        <v>2399</v>
      </c>
      <c r="F27" s="12" t="s">
        <v>2304</v>
      </c>
      <c r="G27" s="12" t="s">
        <v>2305</v>
      </c>
      <c r="H27" s="12" t="s">
        <v>2400</v>
      </c>
      <c r="I27" s="12" t="s">
        <v>2304</v>
      </c>
      <c r="J27" s="12">
        <v>3</v>
      </c>
      <c r="K27" s="12">
        <v>3</v>
      </c>
      <c r="L27" s="12">
        <v>2</v>
      </c>
      <c r="M27" s="12" t="s">
        <v>2401</v>
      </c>
      <c r="N27" s="12" t="s">
        <v>30</v>
      </c>
      <c r="O27" s="60" t="s">
        <v>2306</v>
      </c>
    </row>
    <row r="28" spans="1:15" ht="28.5" customHeight="1" x14ac:dyDescent="0.2">
      <c r="A28" s="6">
        <v>27</v>
      </c>
      <c r="B28" s="7" t="s">
        <v>2402</v>
      </c>
      <c r="C28" s="7" t="s">
        <v>2403</v>
      </c>
      <c r="D28" s="8" t="s">
        <v>2390</v>
      </c>
      <c r="E28" s="7" t="s">
        <v>2329</v>
      </c>
      <c r="F28" s="7" t="s">
        <v>2304</v>
      </c>
      <c r="G28" s="7" t="s">
        <v>2305</v>
      </c>
      <c r="H28" s="7" t="s">
        <v>2304</v>
      </c>
      <c r="I28" s="7" t="s">
        <v>2304</v>
      </c>
      <c r="J28" s="7">
        <v>5</v>
      </c>
      <c r="K28" s="7">
        <v>5</v>
      </c>
      <c r="L28" s="7">
        <v>4</v>
      </c>
      <c r="M28" s="7" t="s">
        <v>2404</v>
      </c>
      <c r="N28" s="7" t="s">
        <v>30</v>
      </c>
      <c r="O28" s="59" t="s">
        <v>2306</v>
      </c>
    </row>
    <row r="29" spans="1:15" ht="28.5" customHeight="1" x14ac:dyDescent="0.2">
      <c r="A29" s="11">
        <v>28</v>
      </c>
      <c r="B29" s="12" t="s">
        <v>170</v>
      </c>
      <c r="C29" s="12" t="s">
        <v>2405</v>
      </c>
      <c r="D29" s="13" t="s">
        <v>2390</v>
      </c>
      <c r="E29" s="12" t="s">
        <v>31</v>
      </c>
      <c r="F29" s="12" t="s">
        <v>2304</v>
      </c>
      <c r="G29" s="12" t="s">
        <v>2305</v>
      </c>
      <c r="H29" s="12" t="s">
        <v>2304</v>
      </c>
      <c r="I29" s="12" t="s">
        <v>2406</v>
      </c>
      <c r="J29" s="12">
        <v>5</v>
      </c>
      <c r="K29" s="12">
        <v>1</v>
      </c>
      <c r="L29" s="12">
        <v>5</v>
      </c>
      <c r="M29" s="12" t="s">
        <v>2407</v>
      </c>
      <c r="N29" s="12" t="s">
        <v>30</v>
      </c>
      <c r="O29" s="60" t="s">
        <v>2306</v>
      </c>
    </row>
    <row r="30" spans="1:15" ht="28.5" customHeight="1" x14ac:dyDescent="0.2">
      <c r="A30" s="6">
        <v>29</v>
      </c>
      <c r="B30" s="7" t="s">
        <v>103</v>
      </c>
      <c r="C30" s="7" t="s">
        <v>2408</v>
      </c>
      <c r="D30" s="8" t="s">
        <v>2303</v>
      </c>
      <c r="E30" s="7" t="s">
        <v>2315</v>
      </c>
      <c r="F30" s="7" t="s">
        <v>2304</v>
      </c>
      <c r="G30" s="7" t="s">
        <v>2305</v>
      </c>
      <c r="H30" s="7" t="s">
        <v>2304</v>
      </c>
      <c r="I30" s="7" t="s">
        <v>2409</v>
      </c>
      <c r="J30" s="7">
        <v>1</v>
      </c>
      <c r="K30" s="7">
        <v>2</v>
      </c>
      <c r="L30" s="7">
        <v>1</v>
      </c>
      <c r="M30" s="7" t="s">
        <v>2410</v>
      </c>
      <c r="N30" s="7" t="s">
        <v>122</v>
      </c>
      <c r="O30" s="59" t="s">
        <v>547</v>
      </c>
    </row>
    <row r="31" spans="1:15" ht="28.5" customHeight="1" x14ac:dyDescent="0.2">
      <c r="A31" s="11">
        <v>30</v>
      </c>
      <c r="B31" s="12" t="s">
        <v>207</v>
      </c>
      <c r="C31" s="12" t="s">
        <v>208</v>
      </c>
      <c r="D31" s="13" t="s">
        <v>2303</v>
      </c>
      <c r="E31" s="12" t="s">
        <v>31</v>
      </c>
      <c r="F31" s="12" t="s">
        <v>2304</v>
      </c>
      <c r="G31" s="12" t="s">
        <v>2305</v>
      </c>
      <c r="H31" s="12" t="s">
        <v>2304</v>
      </c>
      <c r="I31" s="12" t="s">
        <v>2411</v>
      </c>
      <c r="J31" s="12">
        <v>1</v>
      </c>
      <c r="K31" s="12">
        <v>1</v>
      </c>
      <c r="L31" s="12">
        <v>1</v>
      </c>
      <c r="M31" s="12" t="s">
        <v>2412</v>
      </c>
      <c r="N31" s="12" t="s">
        <v>122</v>
      </c>
      <c r="O31" s="60" t="s">
        <v>547</v>
      </c>
    </row>
    <row r="32" spans="1:15" ht="28.5" customHeight="1" x14ac:dyDescent="0.2">
      <c r="A32" s="6">
        <v>31</v>
      </c>
      <c r="B32" s="7" t="s">
        <v>728</v>
      </c>
      <c r="C32" s="7" t="s">
        <v>2413</v>
      </c>
      <c r="D32" s="8" t="s">
        <v>2303</v>
      </c>
      <c r="E32" s="7" t="s">
        <v>62</v>
      </c>
      <c r="F32" s="7" t="s">
        <v>2304</v>
      </c>
      <c r="G32" s="7" t="s">
        <v>2305</v>
      </c>
      <c r="H32" s="7" t="s">
        <v>2339</v>
      </c>
      <c r="I32" s="7" t="s">
        <v>2414</v>
      </c>
      <c r="J32" s="7">
        <v>1</v>
      </c>
      <c r="K32" s="7">
        <v>0</v>
      </c>
      <c r="L32" s="7">
        <v>3</v>
      </c>
      <c r="M32" s="7" t="s">
        <v>2415</v>
      </c>
      <c r="N32" s="7" t="s">
        <v>122</v>
      </c>
      <c r="O32" s="59" t="s">
        <v>547</v>
      </c>
    </row>
    <row r="33" spans="1:15" ht="28.5" customHeight="1" x14ac:dyDescent="0.2">
      <c r="A33" s="11">
        <v>32</v>
      </c>
      <c r="B33" s="12" t="s">
        <v>750</v>
      </c>
      <c r="C33" s="12" t="s">
        <v>2416</v>
      </c>
      <c r="D33" s="13" t="s">
        <v>2303</v>
      </c>
      <c r="E33" s="12" t="s">
        <v>31</v>
      </c>
      <c r="F33" s="12" t="s">
        <v>2304</v>
      </c>
      <c r="G33" s="12" t="s">
        <v>2305</v>
      </c>
      <c r="H33" s="12" t="s">
        <v>2304</v>
      </c>
      <c r="I33" s="12" t="s">
        <v>2304</v>
      </c>
      <c r="J33" s="12">
        <v>2</v>
      </c>
      <c r="K33" s="12">
        <v>3</v>
      </c>
      <c r="L33" s="12">
        <v>2</v>
      </c>
      <c r="M33" s="12" t="s">
        <v>2417</v>
      </c>
      <c r="N33" s="12" t="s">
        <v>122</v>
      </c>
      <c r="O33" s="60" t="s">
        <v>547</v>
      </c>
    </row>
    <row r="34" spans="1:15" ht="28.5" customHeight="1" x14ac:dyDescent="0.2">
      <c r="A34" s="6">
        <v>33</v>
      </c>
      <c r="B34" s="7" t="s">
        <v>2418</v>
      </c>
      <c r="C34" s="7" t="s">
        <v>2419</v>
      </c>
      <c r="D34" s="8" t="s">
        <v>2303</v>
      </c>
      <c r="E34" s="7" t="s">
        <v>31</v>
      </c>
      <c r="F34" s="7" t="s">
        <v>2304</v>
      </c>
      <c r="G34" s="7" t="s">
        <v>2305</v>
      </c>
      <c r="H34" s="7" t="s">
        <v>2304</v>
      </c>
      <c r="I34" s="7" t="s">
        <v>2420</v>
      </c>
      <c r="J34" s="7">
        <v>4</v>
      </c>
      <c r="K34" s="7">
        <v>3</v>
      </c>
      <c r="L34" s="7">
        <v>2</v>
      </c>
      <c r="M34" s="7" t="s">
        <v>2421</v>
      </c>
      <c r="N34" s="7" t="s">
        <v>122</v>
      </c>
      <c r="O34" s="59" t="s">
        <v>547</v>
      </c>
    </row>
    <row r="35" spans="1:15" ht="28.5" customHeight="1" x14ac:dyDescent="0.2">
      <c r="A35" s="11">
        <v>34</v>
      </c>
      <c r="B35" s="12" t="s">
        <v>1656</v>
      </c>
      <c r="C35" s="12" t="s">
        <v>2422</v>
      </c>
      <c r="D35" s="13" t="s">
        <v>2337</v>
      </c>
      <c r="E35" s="12" t="s">
        <v>43</v>
      </c>
      <c r="F35" s="12" t="s">
        <v>2304</v>
      </c>
      <c r="G35" s="12" t="s">
        <v>2305</v>
      </c>
      <c r="H35" s="12" t="s">
        <v>2304</v>
      </c>
      <c r="I35" s="12" t="s">
        <v>2423</v>
      </c>
      <c r="J35" s="12">
        <v>1</v>
      </c>
      <c r="K35" s="12">
        <v>2</v>
      </c>
      <c r="L35" s="12">
        <v>2</v>
      </c>
      <c r="M35" s="12" t="s">
        <v>2424</v>
      </c>
      <c r="N35" s="12" t="s">
        <v>122</v>
      </c>
      <c r="O35" s="60" t="s">
        <v>547</v>
      </c>
    </row>
    <row r="36" spans="1:15" ht="28.5" customHeight="1" x14ac:dyDescent="0.2">
      <c r="A36" s="6">
        <v>35</v>
      </c>
      <c r="B36" s="7" t="s">
        <v>2425</v>
      </c>
      <c r="C36" s="7" t="s">
        <v>378</v>
      </c>
      <c r="D36" s="8" t="s">
        <v>2337</v>
      </c>
      <c r="E36" s="7" t="s">
        <v>2329</v>
      </c>
      <c r="F36" s="7" t="s">
        <v>2304</v>
      </c>
      <c r="G36" s="7" t="s">
        <v>2305</v>
      </c>
      <c r="H36" s="7" t="s">
        <v>2426</v>
      </c>
      <c r="I36" s="7" t="s">
        <v>2304</v>
      </c>
      <c r="J36" s="7">
        <v>2</v>
      </c>
      <c r="K36" s="7">
        <v>2</v>
      </c>
      <c r="L36" s="7">
        <v>1</v>
      </c>
      <c r="M36" s="7" t="s">
        <v>2427</v>
      </c>
      <c r="N36" s="7" t="s">
        <v>122</v>
      </c>
      <c r="O36" s="59" t="s">
        <v>547</v>
      </c>
    </row>
    <row r="37" spans="1:15" ht="28.5" customHeight="1" x14ac:dyDescent="0.2">
      <c r="A37" s="11">
        <v>36</v>
      </c>
      <c r="B37" s="12" t="s">
        <v>2428</v>
      </c>
      <c r="C37" s="12" t="s">
        <v>2429</v>
      </c>
      <c r="D37" s="13" t="s">
        <v>2337</v>
      </c>
      <c r="E37" s="12" t="s">
        <v>130</v>
      </c>
      <c r="F37" s="12" t="s">
        <v>2304</v>
      </c>
      <c r="G37" s="12" t="s">
        <v>2305</v>
      </c>
      <c r="H37" s="12" t="s">
        <v>2304</v>
      </c>
      <c r="I37" s="12" t="s">
        <v>2430</v>
      </c>
      <c r="J37" s="12">
        <v>2</v>
      </c>
      <c r="K37" s="12">
        <v>2</v>
      </c>
      <c r="L37" s="12">
        <v>2</v>
      </c>
      <c r="M37" s="12" t="s">
        <v>2431</v>
      </c>
      <c r="N37" s="12" t="s">
        <v>122</v>
      </c>
      <c r="O37" s="60" t="s">
        <v>547</v>
      </c>
    </row>
    <row r="38" spans="1:15" ht="28.5" customHeight="1" x14ac:dyDescent="0.2">
      <c r="A38" s="6">
        <v>37</v>
      </c>
      <c r="B38" s="7" t="s">
        <v>2432</v>
      </c>
      <c r="C38" s="7" t="s">
        <v>2433</v>
      </c>
      <c r="D38" s="8" t="s">
        <v>2337</v>
      </c>
      <c r="E38" s="7" t="s">
        <v>2304</v>
      </c>
      <c r="F38" s="7" t="s">
        <v>2304</v>
      </c>
      <c r="G38" s="7" t="s">
        <v>2320</v>
      </c>
      <c r="H38" s="7" t="s">
        <v>2304</v>
      </c>
      <c r="I38" s="7" t="s">
        <v>2434</v>
      </c>
      <c r="J38" s="7">
        <v>2</v>
      </c>
      <c r="K38" s="7"/>
      <c r="L38" s="7"/>
      <c r="M38" s="7" t="s">
        <v>2435</v>
      </c>
      <c r="N38" s="7" t="s">
        <v>122</v>
      </c>
      <c r="O38" s="59" t="s">
        <v>547</v>
      </c>
    </row>
    <row r="39" spans="1:15" ht="28.5" customHeight="1" x14ac:dyDescent="0.2">
      <c r="A39" s="11">
        <v>38</v>
      </c>
      <c r="B39" s="12" t="s">
        <v>2436</v>
      </c>
      <c r="C39" s="12" t="s">
        <v>2437</v>
      </c>
      <c r="D39" s="13" t="s">
        <v>2337</v>
      </c>
      <c r="E39" s="12" t="s">
        <v>2438</v>
      </c>
      <c r="F39" s="12" t="s">
        <v>2304</v>
      </c>
      <c r="G39" s="12" t="s">
        <v>2305</v>
      </c>
      <c r="H39" s="12" t="s">
        <v>2304</v>
      </c>
      <c r="I39" s="12" t="s">
        <v>2439</v>
      </c>
      <c r="J39" s="12">
        <v>3</v>
      </c>
      <c r="K39" s="12">
        <v>2</v>
      </c>
      <c r="L39" s="12">
        <v>2</v>
      </c>
      <c r="M39" s="12" t="s">
        <v>2440</v>
      </c>
      <c r="N39" s="12" t="s">
        <v>122</v>
      </c>
      <c r="O39" s="60" t="s">
        <v>547</v>
      </c>
    </row>
    <row r="40" spans="1:15" ht="28.5" customHeight="1" x14ac:dyDescent="0.2">
      <c r="A40" s="6">
        <v>39</v>
      </c>
      <c r="B40" s="7" t="s">
        <v>76</v>
      </c>
      <c r="C40" s="7" t="s">
        <v>77</v>
      </c>
      <c r="D40" s="8" t="s">
        <v>2337</v>
      </c>
      <c r="E40" s="7" t="s">
        <v>43</v>
      </c>
      <c r="F40" s="7" t="s">
        <v>2304</v>
      </c>
      <c r="G40" s="7" t="s">
        <v>2305</v>
      </c>
      <c r="H40" s="7" t="s">
        <v>2426</v>
      </c>
      <c r="I40" s="7" t="s">
        <v>2304</v>
      </c>
      <c r="J40" s="7">
        <v>4</v>
      </c>
      <c r="K40" s="7">
        <v>3</v>
      </c>
      <c r="L40" s="7">
        <v>3</v>
      </c>
      <c r="M40" s="7" t="s">
        <v>2441</v>
      </c>
      <c r="N40" s="7" t="s">
        <v>122</v>
      </c>
      <c r="O40" s="59" t="s">
        <v>547</v>
      </c>
    </row>
    <row r="41" spans="1:15" ht="28.5" customHeight="1" x14ac:dyDescent="0.2">
      <c r="A41" s="11">
        <v>40</v>
      </c>
      <c r="B41" s="12" t="s">
        <v>2442</v>
      </c>
      <c r="C41" s="12" t="s">
        <v>2443</v>
      </c>
      <c r="D41" s="13" t="s">
        <v>2337</v>
      </c>
      <c r="E41" s="12" t="s">
        <v>43</v>
      </c>
      <c r="F41" s="12" t="s">
        <v>2304</v>
      </c>
      <c r="G41" s="12" t="s">
        <v>2305</v>
      </c>
      <c r="H41" s="12" t="s">
        <v>2304</v>
      </c>
      <c r="I41" s="12" t="s">
        <v>2444</v>
      </c>
      <c r="J41" s="12">
        <v>4</v>
      </c>
      <c r="K41" s="12">
        <v>3</v>
      </c>
      <c r="L41" s="12">
        <v>4</v>
      </c>
      <c r="M41" s="12" t="s">
        <v>2445</v>
      </c>
      <c r="N41" s="12" t="s">
        <v>122</v>
      </c>
      <c r="O41" s="60" t="s">
        <v>547</v>
      </c>
    </row>
    <row r="42" spans="1:15" ht="28.5" customHeight="1" x14ac:dyDescent="0.2">
      <c r="A42" s="6">
        <v>41</v>
      </c>
      <c r="B42" s="7" t="s">
        <v>57</v>
      </c>
      <c r="C42" s="7" t="s">
        <v>2446</v>
      </c>
      <c r="D42" s="8" t="s">
        <v>2353</v>
      </c>
      <c r="E42" s="7" t="s">
        <v>62</v>
      </c>
      <c r="F42" s="7" t="s">
        <v>2304</v>
      </c>
      <c r="G42" s="7" t="s">
        <v>2305</v>
      </c>
      <c r="H42" s="7" t="s">
        <v>2339</v>
      </c>
      <c r="I42" s="7" t="s">
        <v>2447</v>
      </c>
      <c r="J42" s="7">
        <v>1</v>
      </c>
      <c r="K42" s="7">
        <v>0</v>
      </c>
      <c r="L42" s="7">
        <v>1</v>
      </c>
      <c r="M42" s="7" t="s">
        <v>2448</v>
      </c>
      <c r="N42" s="7" t="s">
        <v>122</v>
      </c>
      <c r="O42" s="59" t="s">
        <v>547</v>
      </c>
    </row>
    <row r="43" spans="1:15" ht="28.5" customHeight="1" x14ac:dyDescent="0.2">
      <c r="A43" s="11">
        <v>42</v>
      </c>
      <c r="B43" s="12" t="s">
        <v>531</v>
      </c>
      <c r="C43" s="12" t="s">
        <v>581</v>
      </c>
      <c r="D43" s="13" t="s">
        <v>2353</v>
      </c>
      <c r="E43" s="12" t="s">
        <v>531</v>
      </c>
      <c r="F43" s="12" t="s">
        <v>43</v>
      </c>
      <c r="G43" s="12" t="s">
        <v>2305</v>
      </c>
      <c r="H43" s="12" t="s">
        <v>2304</v>
      </c>
      <c r="I43" s="12" t="s">
        <v>2304</v>
      </c>
      <c r="J43" s="12">
        <v>2</v>
      </c>
      <c r="K43" s="12">
        <v>1</v>
      </c>
      <c r="L43" s="12">
        <v>5</v>
      </c>
      <c r="M43" s="12" t="s">
        <v>2449</v>
      </c>
      <c r="N43" s="12" t="s">
        <v>122</v>
      </c>
      <c r="O43" s="60" t="s">
        <v>547</v>
      </c>
    </row>
    <row r="44" spans="1:15" ht="28.5" customHeight="1" x14ac:dyDescent="0.2">
      <c r="A44" s="6">
        <v>43</v>
      </c>
      <c r="B44" s="7" t="s">
        <v>2450</v>
      </c>
      <c r="C44" s="7" t="s">
        <v>2451</v>
      </c>
      <c r="D44" s="8" t="s">
        <v>2353</v>
      </c>
      <c r="E44" s="7" t="s">
        <v>2304</v>
      </c>
      <c r="F44" s="7" t="s">
        <v>2304</v>
      </c>
      <c r="G44" s="7" t="s">
        <v>2320</v>
      </c>
      <c r="H44" s="7" t="s">
        <v>2452</v>
      </c>
      <c r="I44" s="7" t="s">
        <v>2453</v>
      </c>
      <c r="J44" s="7">
        <v>2</v>
      </c>
      <c r="K44" s="7"/>
      <c r="L44" s="7"/>
      <c r="M44" s="7" t="s">
        <v>2454</v>
      </c>
      <c r="N44" s="7" t="s">
        <v>122</v>
      </c>
      <c r="O44" s="59" t="s">
        <v>547</v>
      </c>
    </row>
    <row r="45" spans="1:15" ht="28.5" customHeight="1" x14ac:dyDescent="0.2">
      <c r="A45" s="11">
        <v>44</v>
      </c>
      <c r="B45" s="12" t="s">
        <v>2455</v>
      </c>
      <c r="C45" s="12" t="s">
        <v>1313</v>
      </c>
      <c r="D45" s="13" t="s">
        <v>2353</v>
      </c>
      <c r="E45" s="12" t="s">
        <v>2329</v>
      </c>
      <c r="F45" s="12" t="s">
        <v>2304</v>
      </c>
      <c r="G45" s="12" t="s">
        <v>2305</v>
      </c>
      <c r="H45" s="12" t="s">
        <v>2456</v>
      </c>
      <c r="I45" s="12" t="s">
        <v>2304</v>
      </c>
      <c r="J45" s="12">
        <v>2</v>
      </c>
      <c r="K45" s="12">
        <v>2</v>
      </c>
      <c r="L45" s="12">
        <v>2</v>
      </c>
      <c r="M45" s="12" t="s">
        <v>2457</v>
      </c>
      <c r="N45" s="12" t="s">
        <v>122</v>
      </c>
      <c r="O45" s="60" t="s">
        <v>547</v>
      </c>
    </row>
    <row r="46" spans="1:15" ht="28.5" customHeight="1" x14ac:dyDescent="0.2">
      <c r="A46" s="6">
        <v>45</v>
      </c>
      <c r="B46" s="7" t="s">
        <v>2458</v>
      </c>
      <c r="C46" s="7" t="s">
        <v>2459</v>
      </c>
      <c r="D46" s="8" t="s">
        <v>2353</v>
      </c>
      <c r="E46" s="7" t="s">
        <v>62</v>
      </c>
      <c r="F46" s="7" t="s">
        <v>52</v>
      </c>
      <c r="G46" s="7" t="s">
        <v>2305</v>
      </c>
      <c r="H46" s="7" t="s">
        <v>2460</v>
      </c>
      <c r="I46" s="7" t="s">
        <v>2304</v>
      </c>
      <c r="J46" s="7">
        <v>2</v>
      </c>
      <c r="K46" s="7">
        <v>0</v>
      </c>
      <c r="L46" s="7">
        <v>8</v>
      </c>
      <c r="M46" s="7" t="s">
        <v>2461</v>
      </c>
      <c r="N46" s="7" t="s">
        <v>122</v>
      </c>
      <c r="O46" s="59" t="s">
        <v>547</v>
      </c>
    </row>
    <row r="47" spans="1:15" ht="28.5" customHeight="1" x14ac:dyDescent="0.2">
      <c r="A47" s="11">
        <v>46</v>
      </c>
      <c r="B47" s="12" t="s">
        <v>2462</v>
      </c>
      <c r="C47" s="12" t="s">
        <v>709</v>
      </c>
      <c r="D47" s="13" t="s">
        <v>2353</v>
      </c>
      <c r="E47" s="12" t="s">
        <v>31</v>
      </c>
      <c r="F47" s="12" t="s">
        <v>52</v>
      </c>
      <c r="G47" s="12" t="s">
        <v>2305</v>
      </c>
      <c r="H47" s="12" t="s">
        <v>2339</v>
      </c>
      <c r="I47" s="12" t="s">
        <v>2304</v>
      </c>
      <c r="J47" s="12">
        <v>3</v>
      </c>
      <c r="K47" s="12">
        <v>2</v>
      </c>
      <c r="L47" s="12">
        <v>4</v>
      </c>
      <c r="M47" s="12" t="s">
        <v>2463</v>
      </c>
      <c r="N47" s="12" t="s">
        <v>122</v>
      </c>
      <c r="O47" s="60" t="s">
        <v>547</v>
      </c>
    </row>
    <row r="48" spans="1:15" ht="28.5" customHeight="1" x14ac:dyDescent="0.2">
      <c r="A48" s="6">
        <v>47</v>
      </c>
      <c r="B48" s="7" t="s">
        <v>2464</v>
      </c>
      <c r="C48" s="7" t="s">
        <v>2465</v>
      </c>
      <c r="D48" s="8" t="s">
        <v>2353</v>
      </c>
      <c r="E48" s="7" t="s">
        <v>43</v>
      </c>
      <c r="F48" s="7" t="s">
        <v>2304</v>
      </c>
      <c r="G48" s="7" t="s">
        <v>2305</v>
      </c>
      <c r="H48" s="7" t="s">
        <v>2304</v>
      </c>
      <c r="I48" s="7" t="s">
        <v>2466</v>
      </c>
      <c r="J48" s="7">
        <v>3</v>
      </c>
      <c r="K48" s="7">
        <v>2</v>
      </c>
      <c r="L48" s="7">
        <v>2</v>
      </c>
      <c r="M48" s="7" t="s">
        <v>2467</v>
      </c>
      <c r="N48" s="7" t="s">
        <v>122</v>
      </c>
      <c r="O48" s="59" t="s">
        <v>547</v>
      </c>
    </row>
    <row r="49" spans="1:15" ht="28.5" customHeight="1" x14ac:dyDescent="0.2">
      <c r="A49" s="11">
        <v>48</v>
      </c>
      <c r="B49" s="12" t="s">
        <v>2468</v>
      </c>
      <c r="C49" s="12" t="s">
        <v>2469</v>
      </c>
      <c r="D49" s="13" t="s">
        <v>2370</v>
      </c>
      <c r="E49" s="12" t="s">
        <v>2329</v>
      </c>
      <c r="F49" s="12" t="s">
        <v>2304</v>
      </c>
      <c r="G49" s="12" t="s">
        <v>2305</v>
      </c>
      <c r="H49" s="12" t="s">
        <v>2470</v>
      </c>
      <c r="I49" s="12" t="s">
        <v>2304</v>
      </c>
      <c r="J49" s="12">
        <v>1</v>
      </c>
      <c r="K49" s="12">
        <v>1</v>
      </c>
      <c r="L49" s="12">
        <v>1</v>
      </c>
      <c r="M49" s="12" t="s">
        <v>2471</v>
      </c>
      <c r="N49" s="12" t="s">
        <v>122</v>
      </c>
      <c r="O49" s="60" t="s">
        <v>547</v>
      </c>
    </row>
    <row r="50" spans="1:15" ht="28.5" customHeight="1" x14ac:dyDescent="0.2">
      <c r="A50" s="6">
        <v>49</v>
      </c>
      <c r="B50" s="7" t="s">
        <v>2472</v>
      </c>
      <c r="C50" s="7" t="s">
        <v>2473</v>
      </c>
      <c r="D50" s="8" t="s">
        <v>2370</v>
      </c>
      <c r="E50" s="7" t="s">
        <v>187</v>
      </c>
      <c r="F50" s="7" t="s">
        <v>2304</v>
      </c>
      <c r="G50" s="7" t="s">
        <v>2320</v>
      </c>
      <c r="H50" s="7" t="s">
        <v>2304</v>
      </c>
      <c r="I50" s="7" t="s">
        <v>2474</v>
      </c>
      <c r="J50" s="7">
        <v>3</v>
      </c>
      <c r="K50" s="7"/>
      <c r="L50" s="7"/>
      <c r="M50" s="7" t="s">
        <v>2475</v>
      </c>
      <c r="N50" s="7" t="s">
        <v>122</v>
      </c>
      <c r="O50" s="59" t="s">
        <v>547</v>
      </c>
    </row>
    <row r="51" spans="1:15" ht="28.5" customHeight="1" x14ac:dyDescent="0.2">
      <c r="A51" s="11">
        <v>50</v>
      </c>
      <c r="B51" s="12" t="s">
        <v>2476</v>
      </c>
      <c r="C51" s="12" t="s">
        <v>2477</v>
      </c>
      <c r="D51" s="13" t="s">
        <v>2370</v>
      </c>
      <c r="E51" s="12" t="s">
        <v>2329</v>
      </c>
      <c r="F51" s="12" t="s">
        <v>187</v>
      </c>
      <c r="G51" s="12" t="s">
        <v>2305</v>
      </c>
      <c r="H51" s="12" t="s">
        <v>2304</v>
      </c>
      <c r="I51" s="12" t="s">
        <v>2478</v>
      </c>
      <c r="J51" s="12">
        <v>3</v>
      </c>
      <c r="K51" s="12">
        <v>0</v>
      </c>
      <c r="L51" s="12">
        <v>1</v>
      </c>
      <c r="M51" s="12" t="s">
        <v>2479</v>
      </c>
      <c r="N51" s="12" t="s">
        <v>122</v>
      </c>
      <c r="O51" s="60" t="s">
        <v>547</v>
      </c>
    </row>
    <row r="52" spans="1:15" ht="28.5" customHeight="1" x14ac:dyDescent="0.2">
      <c r="A52" s="6">
        <v>51</v>
      </c>
      <c r="B52" s="7" t="s">
        <v>2480</v>
      </c>
      <c r="C52" s="7" t="s">
        <v>2481</v>
      </c>
      <c r="D52" s="8" t="s">
        <v>2370</v>
      </c>
      <c r="E52" s="7" t="s">
        <v>2315</v>
      </c>
      <c r="F52" s="7" t="s">
        <v>2304</v>
      </c>
      <c r="G52" s="7" t="s">
        <v>2305</v>
      </c>
      <c r="H52" s="7" t="s">
        <v>2482</v>
      </c>
      <c r="I52" s="7" t="s">
        <v>2304</v>
      </c>
      <c r="J52" s="7">
        <v>3</v>
      </c>
      <c r="K52" s="7">
        <v>1</v>
      </c>
      <c r="L52" s="7">
        <v>3</v>
      </c>
      <c r="M52" s="7" t="s">
        <v>2483</v>
      </c>
      <c r="N52" s="7" t="s">
        <v>122</v>
      </c>
      <c r="O52" s="59" t="s">
        <v>547</v>
      </c>
    </row>
    <row r="53" spans="1:15" ht="28.5" customHeight="1" x14ac:dyDescent="0.2">
      <c r="A53" s="11">
        <v>52</v>
      </c>
      <c r="B53" s="12" t="s">
        <v>2484</v>
      </c>
      <c r="C53" s="12" t="s">
        <v>2485</v>
      </c>
      <c r="D53" s="13" t="s">
        <v>2370</v>
      </c>
      <c r="E53" s="12" t="s">
        <v>130</v>
      </c>
      <c r="F53" s="12" t="s">
        <v>2304</v>
      </c>
      <c r="G53" s="12" t="s">
        <v>2305</v>
      </c>
      <c r="H53" s="12" t="s">
        <v>2304</v>
      </c>
      <c r="I53" s="12" t="s">
        <v>2486</v>
      </c>
      <c r="J53" s="12">
        <v>4</v>
      </c>
      <c r="K53" s="12">
        <v>2</v>
      </c>
      <c r="L53" s="12">
        <v>2</v>
      </c>
      <c r="M53" s="12" t="s">
        <v>2487</v>
      </c>
      <c r="N53" s="12" t="s">
        <v>122</v>
      </c>
      <c r="O53" s="60" t="s">
        <v>547</v>
      </c>
    </row>
    <row r="54" spans="1:15" ht="28.5" customHeight="1" x14ac:dyDescent="0.2">
      <c r="A54" s="6">
        <v>53</v>
      </c>
      <c r="B54" s="7" t="s">
        <v>2488</v>
      </c>
      <c r="C54" s="7" t="s">
        <v>2489</v>
      </c>
      <c r="D54" s="8" t="s">
        <v>2370</v>
      </c>
      <c r="E54" s="7" t="s">
        <v>187</v>
      </c>
      <c r="F54" s="7" t="s">
        <v>2304</v>
      </c>
      <c r="G54" s="7" t="s">
        <v>2305</v>
      </c>
      <c r="H54" s="7" t="s">
        <v>2304</v>
      </c>
      <c r="I54" s="7" t="s">
        <v>2490</v>
      </c>
      <c r="J54" s="7">
        <v>5</v>
      </c>
      <c r="K54" s="7">
        <v>3</v>
      </c>
      <c r="L54" s="7">
        <v>3</v>
      </c>
      <c r="M54" s="7" t="s">
        <v>2491</v>
      </c>
      <c r="N54" s="7" t="s">
        <v>122</v>
      </c>
      <c r="O54" s="59" t="s">
        <v>547</v>
      </c>
    </row>
    <row r="55" spans="1:15" ht="28.5" customHeight="1" x14ac:dyDescent="0.2">
      <c r="A55" s="11">
        <v>54</v>
      </c>
      <c r="B55" s="12" t="s">
        <v>2492</v>
      </c>
      <c r="C55" s="12" t="s">
        <v>2493</v>
      </c>
      <c r="D55" s="13" t="s">
        <v>2370</v>
      </c>
      <c r="E55" s="12" t="s">
        <v>2304</v>
      </c>
      <c r="F55" s="12" t="s">
        <v>2304</v>
      </c>
      <c r="G55" s="12" t="s">
        <v>2320</v>
      </c>
      <c r="H55" s="12" t="s">
        <v>2304</v>
      </c>
      <c r="I55" s="12" t="s">
        <v>2494</v>
      </c>
      <c r="J55" s="12">
        <v>5</v>
      </c>
      <c r="K55" s="12"/>
      <c r="L55" s="12"/>
      <c r="M55" s="12" t="s">
        <v>2495</v>
      </c>
      <c r="N55" s="12" t="s">
        <v>122</v>
      </c>
      <c r="O55" s="60" t="s">
        <v>547</v>
      </c>
    </row>
    <row r="56" spans="1:15" ht="28.5" customHeight="1" x14ac:dyDescent="0.2">
      <c r="A56" s="6">
        <v>55</v>
      </c>
      <c r="B56" s="7" t="s">
        <v>84</v>
      </c>
      <c r="C56" s="7" t="s">
        <v>2496</v>
      </c>
      <c r="D56" s="8" t="s">
        <v>2390</v>
      </c>
      <c r="E56" s="7" t="s">
        <v>2315</v>
      </c>
      <c r="F56" s="7" t="s">
        <v>2304</v>
      </c>
      <c r="G56" s="7" t="s">
        <v>2320</v>
      </c>
      <c r="H56" s="7" t="s">
        <v>2304</v>
      </c>
      <c r="I56" s="7" t="s">
        <v>2497</v>
      </c>
      <c r="J56" s="7">
        <v>1</v>
      </c>
      <c r="K56" s="7"/>
      <c r="L56" s="7"/>
      <c r="M56" s="7" t="s">
        <v>2498</v>
      </c>
      <c r="N56" s="7" t="s">
        <v>122</v>
      </c>
      <c r="O56" s="59" t="s">
        <v>547</v>
      </c>
    </row>
    <row r="57" spans="1:15" ht="28.5" customHeight="1" x14ac:dyDescent="0.2">
      <c r="A57" s="11">
        <v>56</v>
      </c>
      <c r="B57" s="12" t="s">
        <v>2499</v>
      </c>
      <c r="C57" s="12" t="s">
        <v>2500</v>
      </c>
      <c r="D57" s="13" t="s">
        <v>2390</v>
      </c>
      <c r="E57" s="12" t="s">
        <v>2315</v>
      </c>
      <c r="F57" s="12" t="s">
        <v>2304</v>
      </c>
      <c r="G57" s="12" t="s">
        <v>2305</v>
      </c>
      <c r="H57" s="12" t="s">
        <v>2339</v>
      </c>
      <c r="I57" s="12" t="s">
        <v>2304</v>
      </c>
      <c r="J57" s="12">
        <v>1</v>
      </c>
      <c r="K57" s="12">
        <v>2</v>
      </c>
      <c r="L57" s="12">
        <v>1</v>
      </c>
      <c r="M57" s="12" t="s">
        <v>2501</v>
      </c>
      <c r="N57" s="12" t="s">
        <v>122</v>
      </c>
      <c r="O57" s="60" t="s">
        <v>547</v>
      </c>
    </row>
    <row r="58" spans="1:15" ht="28.5" customHeight="1" x14ac:dyDescent="0.2">
      <c r="A58" s="6">
        <v>57</v>
      </c>
      <c r="B58" s="7" t="s">
        <v>2502</v>
      </c>
      <c r="C58" s="7" t="s">
        <v>2503</v>
      </c>
      <c r="D58" s="8" t="s">
        <v>2390</v>
      </c>
      <c r="E58" s="7" t="s">
        <v>62</v>
      </c>
      <c r="F58" s="7" t="s">
        <v>2304</v>
      </c>
      <c r="G58" s="7" t="s">
        <v>2305</v>
      </c>
      <c r="H58" s="7" t="s">
        <v>2304</v>
      </c>
      <c r="I58" s="7" t="s">
        <v>2504</v>
      </c>
      <c r="J58" s="7">
        <v>3</v>
      </c>
      <c r="K58" s="7">
        <v>3</v>
      </c>
      <c r="L58" s="7">
        <v>4</v>
      </c>
      <c r="M58" s="7" t="s">
        <v>2505</v>
      </c>
      <c r="N58" s="7" t="s">
        <v>122</v>
      </c>
      <c r="O58" s="59" t="s">
        <v>547</v>
      </c>
    </row>
    <row r="59" spans="1:15" ht="28.5" customHeight="1" x14ac:dyDescent="0.2">
      <c r="A59" s="11">
        <v>58</v>
      </c>
      <c r="B59" s="12" t="s">
        <v>151</v>
      </c>
      <c r="C59" s="12" t="s">
        <v>152</v>
      </c>
      <c r="D59" s="13" t="s">
        <v>2390</v>
      </c>
      <c r="E59" s="12" t="s">
        <v>158</v>
      </c>
      <c r="F59" s="12" t="s">
        <v>2304</v>
      </c>
      <c r="G59" s="12" t="s">
        <v>2320</v>
      </c>
      <c r="H59" s="12" t="s">
        <v>2304</v>
      </c>
      <c r="I59" s="12" t="s">
        <v>2506</v>
      </c>
      <c r="J59" s="12">
        <v>3</v>
      </c>
      <c r="K59" s="12"/>
      <c r="L59" s="12"/>
      <c r="M59" s="12" t="s">
        <v>2507</v>
      </c>
      <c r="N59" s="12" t="s">
        <v>122</v>
      </c>
      <c r="O59" s="60" t="s">
        <v>547</v>
      </c>
    </row>
    <row r="60" spans="1:15" ht="28.5" customHeight="1" x14ac:dyDescent="0.2">
      <c r="A60" s="6">
        <v>59</v>
      </c>
      <c r="B60" s="7" t="s">
        <v>2508</v>
      </c>
      <c r="C60" s="7" t="s">
        <v>1715</v>
      </c>
      <c r="D60" s="8" t="s">
        <v>2390</v>
      </c>
      <c r="E60" s="7" t="s">
        <v>158</v>
      </c>
      <c r="F60" s="7" t="s">
        <v>43</v>
      </c>
      <c r="G60" s="7" t="s">
        <v>2305</v>
      </c>
      <c r="H60" s="7" t="s">
        <v>2304</v>
      </c>
      <c r="I60" s="7" t="s">
        <v>2304</v>
      </c>
      <c r="J60" s="7">
        <v>3</v>
      </c>
      <c r="K60" s="7">
        <v>3</v>
      </c>
      <c r="L60" s="7">
        <v>3</v>
      </c>
      <c r="M60" s="7" t="s">
        <v>2509</v>
      </c>
      <c r="N60" s="7" t="s">
        <v>122</v>
      </c>
      <c r="O60" s="59" t="s">
        <v>547</v>
      </c>
    </row>
    <row r="61" spans="1:15" ht="28.5" customHeight="1" x14ac:dyDescent="0.2">
      <c r="A61" s="11">
        <v>60</v>
      </c>
      <c r="B61" s="12" t="s">
        <v>1830</v>
      </c>
      <c r="C61" s="12" t="s">
        <v>2510</v>
      </c>
      <c r="D61" s="13" t="s">
        <v>2390</v>
      </c>
      <c r="E61" s="12" t="s">
        <v>62</v>
      </c>
      <c r="F61" s="12" t="s">
        <v>2304</v>
      </c>
      <c r="G61" s="12" t="s">
        <v>2305</v>
      </c>
      <c r="H61" s="12" t="s">
        <v>2339</v>
      </c>
      <c r="I61" s="12" t="s">
        <v>2304</v>
      </c>
      <c r="J61" s="12">
        <v>4</v>
      </c>
      <c r="K61" s="12">
        <v>5</v>
      </c>
      <c r="L61" s="12">
        <v>2</v>
      </c>
      <c r="M61" s="12" t="s">
        <v>2511</v>
      </c>
      <c r="N61" s="12" t="s">
        <v>122</v>
      </c>
      <c r="O61" s="60" t="s">
        <v>547</v>
      </c>
    </row>
    <row r="62" spans="1:15" ht="28.5" customHeight="1" x14ac:dyDescent="0.2">
      <c r="A62" s="6">
        <v>61</v>
      </c>
      <c r="B62" s="7" t="s">
        <v>2512</v>
      </c>
      <c r="C62" s="7" t="s">
        <v>2513</v>
      </c>
      <c r="D62" s="8" t="s">
        <v>2303</v>
      </c>
      <c r="E62" s="7" t="s">
        <v>2304</v>
      </c>
      <c r="F62" s="7" t="s">
        <v>2304</v>
      </c>
      <c r="G62" s="7" t="s">
        <v>2320</v>
      </c>
      <c r="H62" s="7" t="s">
        <v>2304</v>
      </c>
      <c r="I62" s="7" t="s">
        <v>2514</v>
      </c>
      <c r="J62" s="7">
        <v>2</v>
      </c>
      <c r="K62" s="7"/>
      <c r="L62" s="7"/>
      <c r="M62" s="7" t="s">
        <v>2515</v>
      </c>
      <c r="N62" s="7" t="s">
        <v>122</v>
      </c>
      <c r="O62" s="59" t="s">
        <v>2516</v>
      </c>
    </row>
    <row r="63" spans="1:15" ht="28.5" customHeight="1" x14ac:dyDescent="0.2">
      <c r="A63" s="11">
        <v>62</v>
      </c>
      <c r="B63" s="12" t="s">
        <v>1515</v>
      </c>
      <c r="C63" s="12" t="s">
        <v>1516</v>
      </c>
      <c r="D63" s="13" t="s">
        <v>2303</v>
      </c>
      <c r="E63" s="12" t="s">
        <v>31</v>
      </c>
      <c r="F63" s="12" t="s">
        <v>2304</v>
      </c>
      <c r="G63" s="12" t="s">
        <v>2305</v>
      </c>
      <c r="H63" s="12" t="s">
        <v>2304</v>
      </c>
      <c r="I63" s="12" t="s">
        <v>2414</v>
      </c>
      <c r="J63" s="12">
        <v>2</v>
      </c>
      <c r="K63" s="12">
        <v>2</v>
      </c>
      <c r="L63" s="12">
        <v>3</v>
      </c>
      <c r="M63" s="12" t="s">
        <v>2517</v>
      </c>
      <c r="N63" s="12" t="s">
        <v>122</v>
      </c>
      <c r="O63" s="60" t="s">
        <v>2516</v>
      </c>
    </row>
    <row r="64" spans="1:15" ht="28.5" customHeight="1" x14ac:dyDescent="0.2">
      <c r="A64" s="6">
        <v>63</v>
      </c>
      <c r="B64" s="7" t="s">
        <v>2518</v>
      </c>
      <c r="C64" s="7" t="s">
        <v>2519</v>
      </c>
      <c r="D64" s="8" t="s">
        <v>2303</v>
      </c>
      <c r="E64" s="7" t="s">
        <v>158</v>
      </c>
      <c r="F64" s="7" t="s">
        <v>2304</v>
      </c>
      <c r="G64" s="7" t="s">
        <v>2520</v>
      </c>
      <c r="H64" s="7" t="s">
        <v>2304</v>
      </c>
      <c r="I64" s="7" t="s">
        <v>2521</v>
      </c>
      <c r="J64" s="7">
        <v>2</v>
      </c>
      <c r="K64" s="7"/>
      <c r="L64" s="7"/>
      <c r="M64" s="7" t="s">
        <v>2522</v>
      </c>
      <c r="N64" s="7" t="s">
        <v>122</v>
      </c>
      <c r="O64" s="59" t="s">
        <v>2516</v>
      </c>
    </row>
    <row r="65" spans="1:15" ht="28.5" customHeight="1" x14ac:dyDescent="0.2">
      <c r="A65" s="11">
        <v>64</v>
      </c>
      <c r="B65" s="12" t="s">
        <v>2523</v>
      </c>
      <c r="C65" s="12" t="s">
        <v>2524</v>
      </c>
      <c r="D65" s="13" t="s">
        <v>2337</v>
      </c>
      <c r="E65" s="12" t="s">
        <v>2525</v>
      </c>
      <c r="F65" s="12" t="s">
        <v>2304</v>
      </c>
      <c r="G65" s="12" t="s">
        <v>2305</v>
      </c>
      <c r="H65" s="12" t="s">
        <v>2304</v>
      </c>
      <c r="I65" s="12" t="s">
        <v>2526</v>
      </c>
      <c r="J65" s="12">
        <v>1</v>
      </c>
      <c r="K65" s="12">
        <v>2</v>
      </c>
      <c r="L65" s="12">
        <v>2</v>
      </c>
      <c r="M65" s="12" t="s">
        <v>2527</v>
      </c>
      <c r="N65" s="12" t="s">
        <v>122</v>
      </c>
      <c r="O65" s="60" t="s">
        <v>2516</v>
      </c>
    </row>
    <row r="66" spans="1:15" ht="28.5" customHeight="1" x14ac:dyDescent="0.2">
      <c r="A66" s="6">
        <v>65</v>
      </c>
      <c r="B66" s="7" t="s">
        <v>2528</v>
      </c>
      <c r="C66" s="7" t="s">
        <v>2529</v>
      </c>
      <c r="D66" s="8" t="s">
        <v>2337</v>
      </c>
      <c r="E66" s="7" t="s">
        <v>130</v>
      </c>
      <c r="F66" s="7" t="s">
        <v>2304</v>
      </c>
      <c r="G66" s="7" t="s">
        <v>2305</v>
      </c>
      <c r="H66" s="7" t="s">
        <v>2304</v>
      </c>
      <c r="I66" s="7" t="s">
        <v>2530</v>
      </c>
      <c r="J66" s="7">
        <v>2</v>
      </c>
      <c r="K66" s="7">
        <v>3</v>
      </c>
      <c r="L66" s="7">
        <v>2</v>
      </c>
      <c r="M66" s="7" t="s">
        <v>2531</v>
      </c>
      <c r="N66" s="7" t="s">
        <v>122</v>
      </c>
      <c r="O66" s="59" t="s">
        <v>2516</v>
      </c>
    </row>
    <row r="67" spans="1:15" ht="28.5" customHeight="1" x14ac:dyDescent="0.2">
      <c r="A67" s="11">
        <v>66</v>
      </c>
      <c r="B67" s="12" t="s">
        <v>2532</v>
      </c>
      <c r="C67" s="12" t="s">
        <v>2533</v>
      </c>
      <c r="D67" s="13" t="s">
        <v>2337</v>
      </c>
      <c r="E67" s="12" t="s">
        <v>2438</v>
      </c>
      <c r="F67" s="12" t="s">
        <v>2304</v>
      </c>
      <c r="G67" s="12" t="s">
        <v>2520</v>
      </c>
      <c r="H67" s="12" t="s">
        <v>2304</v>
      </c>
      <c r="I67" s="12" t="s">
        <v>2534</v>
      </c>
      <c r="J67" s="12">
        <v>4</v>
      </c>
      <c r="K67" s="12"/>
      <c r="L67" s="12"/>
      <c r="M67" s="12" t="s">
        <v>2535</v>
      </c>
      <c r="N67" s="12" t="s">
        <v>122</v>
      </c>
      <c r="O67" s="60" t="s">
        <v>2516</v>
      </c>
    </row>
    <row r="68" spans="1:15" ht="28.5" customHeight="1" x14ac:dyDescent="0.2">
      <c r="A68" s="6">
        <v>67</v>
      </c>
      <c r="B68" s="7" t="s">
        <v>2536</v>
      </c>
      <c r="C68" s="7" t="s">
        <v>2537</v>
      </c>
      <c r="D68" s="8" t="s">
        <v>2353</v>
      </c>
      <c r="E68" s="7" t="s">
        <v>2304</v>
      </c>
      <c r="F68" s="7" t="s">
        <v>2304</v>
      </c>
      <c r="G68" s="7" t="s">
        <v>2320</v>
      </c>
      <c r="H68" s="7" t="s">
        <v>2304</v>
      </c>
      <c r="I68" s="7" t="s">
        <v>2538</v>
      </c>
      <c r="J68" s="7">
        <v>1</v>
      </c>
      <c r="K68" s="7"/>
      <c r="L68" s="7"/>
      <c r="M68" s="7" t="s">
        <v>2539</v>
      </c>
      <c r="N68" s="7" t="s">
        <v>122</v>
      </c>
      <c r="O68" s="59" t="s">
        <v>2516</v>
      </c>
    </row>
    <row r="69" spans="1:15" ht="28.5" customHeight="1" x14ac:dyDescent="0.2">
      <c r="A69" s="11">
        <v>68</v>
      </c>
      <c r="B69" s="12" t="s">
        <v>2540</v>
      </c>
      <c r="C69" s="12" t="s">
        <v>2541</v>
      </c>
      <c r="D69" s="13" t="s">
        <v>2353</v>
      </c>
      <c r="E69" s="12" t="s">
        <v>62</v>
      </c>
      <c r="F69" s="12" t="s">
        <v>2304</v>
      </c>
      <c r="G69" s="12" t="s">
        <v>2520</v>
      </c>
      <c r="H69" s="12" t="s">
        <v>2304</v>
      </c>
      <c r="I69" s="12" t="s">
        <v>2542</v>
      </c>
      <c r="J69" s="12">
        <v>2</v>
      </c>
      <c r="K69" s="12"/>
      <c r="L69" s="12"/>
      <c r="M69" s="12" t="s">
        <v>2543</v>
      </c>
      <c r="N69" s="12" t="s">
        <v>122</v>
      </c>
      <c r="O69" s="60" t="s">
        <v>2516</v>
      </c>
    </row>
    <row r="70" spans="1:15" ht="28.5" customHeight="1" x14ac:dyDescent="0.2">
      <c r="A70" s="6">
        <v>69</v>
      </c>
      <c r="B70" s="7" t="s">
        <v>1576</v>
      </c>
      <c r="C70" s="7" t="s">
        <v>2544</v>
      </c>
      <c r="D70" s="8" t="s">
        <v>2353</v>
      </c>
      <c r="E70" s="7" t="s">
        <v>2309</v>
      </c>
      <c r="F70" s="7" t="s">
        <v>62</v>
      </c>
      <c r="G70" s="7" t="s">
        <v>2305</v>
      </c>
      <c r="H70" s="7" t="s">
        <v>2304</v>
      </c>
      <c r="I70" s="7" t="s">
        <v>2545</v>
      </c>
      <c r="J70" s="7">
        <v>3</v>
      </c>
      <c r="K70" s="7">
        <v>3</v>
      </c>
      <c r="L70" s="7">
        <v>3</v>
      </c>
      <c r="M70" s="7" t="s">
        <v>2546</v>
      </c>
      <c r="N70" s="7" t="s">
        <v>122</v>
      </c>
      <c r="O70" s="59" t="s">
        <v>2516</v>
      </c>
    </row>
    <row r="71" spans="1:15" ht="28.5" customHeight="1" x14ac:dyDescent="0.2">
      <c r="A71" s="11">
        <v>70</v>
      </c>
      <c r="B71" s="12" t="s">
        <v>2547</v>
      </c>
      <c r="C71" s="12" t="s">
        <v>2548</v>
      </c>
      <c r="D71" s="13" t="s">
        <v>2370</v>
      </c>
      <c r="E71" s="12" t="s">
        <v>2549</v>
      </c>
      <c r="F71" s="12" t="s">
        <v>2304</v>
      </c>
      <c r="G71" s="12" t="s">
        <v>2320</v>
      </c>
      <c r="H71" s="12" t="s">
        <v>2304</v>
      </c>
      <c r="I71" s="12" t="s">
        <v>2550</v>
      </c>
      <c r="J71" s="12">
        <v>1</v>
      </c>
      <c r="K71" s="12"/>
      <c r="L71" s="12"/>
      <c r="M71" s="12" t="s">
        <v>2551</v>
      </c>
      <c r="N71" s="12" t="s">
        <v>122</v>
      </c>
      <c r="O71" s="60" t="s">
        <v>2516</v>
      </c>
    </row>
    <row r="72" spans="1:15" ht="28.5" customHeight="1" x14ac:dyDescent="0.2">
      <c r="A72" s="6">
        <v>71</v>
      </c>
      <c r="B72" s="7" t="s">
        <v>2552</v>
      </c>
      <c r="C72" s="7" t="s">
        <v>2553</v>
      </c>
      <c r="D72" s="8" t="s">
        <v>2370</v>
      </c>
      <c r="E72" s="7" t="s">
        <v>2315</v>
      </c>
      <c r="F72" s="7" t="s">
        <v>43</v>
      </c>
      <c r="G72" s="7" t="s">
        <v>2305</v>
      </c>
      <c r="H72" s="7" t="s">
        <v>2304</v>
      </c>
      <c r="I72" s="7" t="s">
        <v>2554</v>
      </c>
      <c r="J72" s="7">
        <v>3</v>
      </c>
      <c r="K72" s="7">
        <v>2</v>
      </c>
      <c r="L72" s="7">
        <v>4</v>
      </c>
      <c r="M72" s="7" t="s">
        <v>2555</v>
      </c>
      <c r="N72" s="7" t="s">
        <v>122</v>
      </c>
      <c r="O72" s="59" t="s">
        <v>2516</v>
      </c>
    </row>
    <row r="73" spans="1:15" ht="28.5" customHeight="1" x14ac:dyDescent="0.2">
      <c r="A73" s="11">
        <v>72</v>
      </c>
      <c r="B73" s="12" t="s">
        <v>2556</v>
      </c>
      <c r="C73" s="12" t="s">
        <v>2557</v>
      </c>
      <c r="D73" s="13" t="s">
        <v>2370</v>
      </c>
      <c r="E73" s="12" t="s">
        <v>2329</v>
      </c>
      <c r="F73" s="12" t="s">
        <v>2304</v>
      </c>
      <c r="G73" s="12" t="s">
        <v>2520</v>
      </c>
      <c r="H73" s="12" t="s">
        <v>2304</v>
      </c>
      <c r="I73" s="12" t="s">
        <v>2558</v>
      </c>
      <c r="J73" s="12">
        <v>3</v>
      </c>
      <c r="K73" s="12"/>
      <c r="L73" s="12"/>
      <c r="M73" s="12" t="s">
        <v>2559</v>
      </c>
      <c r="N73" s="12" t="s">
        <v>122</v>
      </c>
      <c r="O73" s="60" t="s">
        <v>2516</v>
      </c>
    </row>
    <row r="74" spans="1:15" ht="28.5" customHeight="1" x14ac:dyDescent="0.2">
      <c r="A74" s="6">
        <v>73</v>
      </c>
      <c r="B74" s="7" t="s">
        <v>2560</v>
      </c>
      <c r="C74" s="7" t="s">
        <v>2561</v>
      </c>
      <c r="D74" s="8" t="s">
        <v>2390</v>
      </c>
      <c r="E74" s="7" t="s">
        <v>2438</v>
      </c>
      <c r="F74" s="7" t="s">
        <v>2304</v>
      </c>
      <c r="G74" s="7" t="s">
        <v>2305</v>
      </c>
      <c r="H74" s="7" t="s">
        <v>2304</v>
      </c>
      <c r="I74" s="7" t="s">
        <v>2562</v>
      </c>
      <c r="J74" s="7">
        <v>1</v>
      </c>
      <c r="K74" s="7">
        <v>2</v>
      </c>
      <c r="L74" s="7">
        <v>2</v>
      </c>
      <c r="M74" s="7" t="s">
        <v>2563</v>
      </c>
      <c r="N74" s="7" t="s">
        <v>122</v>
      </c>
      <c r="O74" s="59" t="s">
        <v>2516</v>
      </c>
    </row>
    <row r="75" spans="1:15" ht="28.5" customHeight="1" x14ac:dyDescent="0.2">
      <c r="A75" s="11">
        <v>74</v>
      </c>
      <c r="B75" s="12" t="s">
        <v>2564</v>
      </c>
      <c r="C75" s="12" t="s">
        <v>2565</v>
      </c>
      <c r="D75" s="13" t="s">
        <v>2390</v>
      </c>
      <c r="E75" s="12" t="s">
        <v>187</v>
      </c>
      <c r="F75" s="12" t="s">
        <v>2304</v>
      </c>
      <c r="G75" s="12" t="s">
        <v>2520</v>
      </c>
      <c r="H75" s="12" t="s">
        <v>2304</v>
      </c>
      <c r="I75" s="12" t="s">
        <v>2566</v>
      </c>
      <c r="J75" s="12">
        <v>3</v>
      </c>
      <c r="K75" s="12"/>
      <c r="L75" s="12"/>
      <c r="M75" s="12" t="s">
        <v>2567</v>
      </c>
      <c r="N75" s="12" t="s">
        <v>122</v>
      </c>
      <c r="O75" s="60" t="s">
        <v>2516</v>
      </c>
    </row>
    <row r="76" spans="1:15" ht="28.5" customHeight="1" x14ac:dyDescent="0.2">
      <c r="A76" s="6">
        <v>75</v>
      </c>
      <c r="B76" s="7" t="s">
        <v>2568</v>
      </c>
      <c r="C76" s="7" t="s">
        <v>2569</v>
      </c>
      <c r="D76" s="8" t="s">
        <v>2390</v>
      </c>
      <c r="E76" s="7" t="s">
        <v>2315</v>
      </c>
      <c r="F76" s="7" t="s">
        <v>2304</v>
      </c>
      <c r="G76" s="7" t="s">
        <v>2305</v>
      </c>
      <c r="H76" s="7" t="s">
        <v>2400</v>
      </c>
      <c r="I76" s="7" t="s">
        <v>2570</v>
      </c>
      <c r="J76" s="7">
        <v>4</v>
      </c>
      <c r="K76" s="7">
        <v>3</v>
      </c>
      <c r="L76" s="7">
        <v>4</v>
      </c>
      <c r="M76" s="7" t="s">
        <v>2571</v>
      </c>
      <c r="N76" s="7" t="s">
        <v>122</v>
      </c>
      <c r="O76" s="59" t="s">
        <v>2516</v>
      </c>
    </row>
    <row r="77" spans="1:15" ht="28.5" customHeight="1" x14ac:dyDescent="0.2">
      <c r="A77" s="11">
        <v>76</v>
      </c>
      <c r="B77" s="12" t="s">
        <v>1465</v>
      </c>
      <c r="C77" s="12" t="s">
        <v>1466</v>
      </c>
      <c r="D77" s="13" t="s">
        <v>2303</v>
      </c>
      <c r="E77" s="12" t="s">
        <v>2315</v>
      </c>
      <c r="F77" s="12" t="s">
        <v>43</v>
      </c>
      <c r="G77" s="12" t="s">
        <v>2305</v>
      </c>
      <c r="H77" s="12" t="s">
        <v>2339</v>
      </c>
      <c r="I77" s="12" t="s">
        <v>2572</v>
      </c>
      <c r="J77" s="12">
        <v>1</v>
      </c>
      <c r="K77" s="12">
        <v>0</v>
      </c>
      <c r="L77" s="12">
        <v>1</v>
      </c>
      <c r="M77" s="12" t="s">
        <v>2573</v>
      </c>
      <c r="N77" s="12" t="s">
        <v>122</v>
      </c>
      <c r="O77" s="60" t="s">
        <v>2574</v>
      </c>
    </row>
    <row r="78" spans="1:15" ht="28.5" customHeight="1" x14ac:dyDescent="0.2">
      <c r="A78" s="6">
        <v>77</v>
      </c>
      <c r="B78" s="7" t="s">
        <v>2575</v>
      </c>
      <c r="C78" s="7" t="s">
        <v>2576</v>
      </c>
      <c r="D78" s="8" t="s">
        <v>2337</v>
      </c>
      <c r="E78" s="7" t="s">
        <v>2577</v>
      </c>
      <c r="F78" s="7" t="s">
        <v>2304</v>
      </c>
      <c r="G78" s="7" t="s">
        <v>2305</v>
      </c>
      <c r="H78" s="7" t="s">
        <v>2339</v>
      </c>
      <c r="I78" s="7" t="s">
        <v>2578</v>
      </c>
      <c r="J78" s="7">
        <v>1</v>
      </c>
      <c r="K78" s="7">
        <v>1</v>
      </c>
      <c r="L78" s="7">
        <v>1</v>
      </c>
      <c r="M78" s="7" t="s">
        <v>2579</v>
      </c>
      <c r="N78" s="7" t="s">
        <v>122</v>
      </c>
      <c r="O78" s="59" t="s">
        <v>2574</v>
      </c>
    </row>
    <row r="79" spans="1:15" ht="28.5" customHeight="1" x14ac:dyDescent="0.2">
      <c r="A79" s="11">
        <v>78</v>
      </c>
      <c r="B79" s="12" t="s">
        <v>2580</v>
      </c>
      <c r="C79" s="12" t="s">
        <v>2581</v>
      </c>
      <c r="D79" s="13" t="s">
        <v>2353</v>
      </c>
      <c r="E79" s="12" t="s">
        <v>187</v>
      </c>
      <c r="F79" s="12" t="s">
        <v>2304</v>
      </c>
      <c r="G79" s="12" t="s">
        <v>2320</v>
      </c>
      <c r="H79" s="12" t="s">
        <v>2304</v>
      </c>
      <c r="I79" s="12" t="s">
        <v>2582</v>
      </c>
      <c r="J79" s="12">
        <v>1</v>
      </c>
      <c r="K79" s="12"/>
      <c r="L79" s="12"/>
      <c r="M79" s="12" t="s">
        <v>2583</v>
      </c>
      <c r="N79" s="12" t="s">
        <v>122</v>
      </c>
      <c r="O79" s="60" t="s">
        <v>2574</v>
      </c>
    </row>
    <row r="80" spans="1:15" ht="28.5" customHeight="1" x14ac:dyDescent="0.2">
      <c r="A80" s="6">
        <v>79</v>
      </c>
      <c r="B80" s="7" t="s">
        <v>458</v>
      </c>
      <c r="C80" s="7" t="s">
        <v>2584</v>
      </c>
      <c r="D80" s="8" t="s">
        <v>2353</v>
      </c>
      <c r="E80" s="7" t="s">
        <v>62</v>
      </c>
      <c r="F80" s="7" t="s">
        <v>2304</v>
      </c>
      <c r="G80" s="7" t="s">
        <v>2305</v>
      </c>
      <c r="H80" s="7" t="s">
        <v>2304</v>
      </c>
      <c r="I80" s="7" t="s">
        <v>2585</v>
      </c>
      <c r="J80" s="7">
        <v>1</v>
      </c>
      <c r="K80" s="7">
        <v>0</v>
      </c>
      <c r="L80" s="7">
        <v>1</v>
      </c>
      <c r="M80" s="7" t="s">
        <v>2586</v>
      </c>
      <c r="N80" s="7" t="s">
        <v>122</v>
      </c>
      <c r="O80" s="59" t="s">
        <v>2574</v>
      </c>
    </row>
    <row r="81" spans="1:15" ht="28.5" customHeight="1" x14ac:dyDescent="0.2">
      <c r="A81" s="11">
        <v>80</v>
      </c>
      <c r="B81" s="12" t="s">
        <v>2587</v>
      </c>
      <c r="C81" s="12" t="s">
        <v>370</v>
      </c>
      <c r="D81" s="13" t="s">
        <v>2370</v>
      </c>
      <c r="E81" s="12" t="s">
        <v>2329</v>
      </c>
      <c r="F81" s="12" t="s">
        <v>2304</v>
      </c>
      <c r="G81" s="12" t="s">
        <v>2305</v>
      </c>
      <c r="H81" s="12" t="s">
        <v>2339</v>
      </c>
      <c r="I81" s="12" t="s">
        <v>2304</v>
      </c>
      <c r="J81" s="12">
        <v>0</v>
      </c>
      <c r="K81" s="12">
        <v>1</v>
      </c>
      <c r="L81" s="12">
        <v>1</v>
      </c>
      <c r="M81" s="12" t="s">
        <v>2588</v>
      </c>
      <c r="N81" s="12" t="s">
        <v>122</v>
      </c>
      <c r="O81" s="60" t="s">
        <v>2574</v>
      </c>
    </row>
    <row r="82" spans="1:15" ht="28.5" customHeight="1" x14ac:dyDescent="0.2">
      <c r="A82" s="6">
        <v>81</v>
      </c>
      <c r="B82" s="7" t="s">
        <v>2589</v>
      </c>
      <c r="C82" s="7" t="s">
        <v>2590</v>
      </c>
      <c r="D82" s="8" t="s">
        <v>2390</v>
      </c>
      <c r="E82" s="7" t="s">
        <v>2304</v>
      </c>
      <c r="F82" s="7" t="s">
        <v>2304</v>
      </c>
      <c r="G82" s="7" t="s">
        <v>2320</v>
      </c>
      <c r="H82" s="7" t="s">
        <v>2304</v>
      </c>
      <c r="I82" s="7" t="s">
        <v>2591</v>
      </c>
      <c r="J82" s="7">
        <v>2</v>
      </c>
      <c r="K82" s="7"/>
      <c r="L82" s="7"/>
      <c r="M82" s="7" t="s">
        <v>2592</v>
      </c>
      <c r="N82" s="7" t="s">
        <v>122</v>
      </c>
      <c r="O82" s="59" t="s">
        <v>2574</v>
      </c>
    </row>
    <row r="83" spans="1:15" ht="28.5" customHeight="1" x14ac:dyDescent="0.2">
      <c r="A83" s="11">
        <v>82</v>
      </c>
      <c r="B83" s="12" t="s">
        <v>2593</v>
      </c>
      <c r="C83" s="12" t="s">
        <v>2594</v>
      </c>
      <c r="D83" s="13" t="s">
        <v>2390</v>
      </c>
      <c r="E83" s="12" t="s">
        <v>130</v>
      </c>
      <c r="F83" s="12" t="s">
        <v>2304</v>
      </c>
      <c r="G83" s="12" t="s">
        <v>2305</v>
      </c>
      <c r="H83" s="12" t="s">
        <v>2460</v>
      </c>
      <c r="I83" s="12" t="s">
        <v>2304</v>
      </c>
      <c r="J83" s="12">
        <v>2</v>
      </c>
      <c r="K83" s="12">
        <v>2</v>
      </c>
      <c r="L83" s="12">
        <v>2</v>
      </c>
      <c r="M83" s="12" t="s">
        <v>2595</v>
      </c>
      <c r="N83" s="12" t="s">
        <v>122</v>
      </c>
      <c r="O83" s="60" t="s">
        <v>2574</v>
      </c>
    </row>
    <row r="84" spans="1:15" ht="28.5" customHeight="1" x14ac:dyDescent="0.2">
      <c r="A84" s="6">
        <v>83</v>
      </c>
      <c r="B84" s="7" t="s">
        <v>2596</v>
      </c>
      <c r="C84" s="7" t="s">
        <v>2597</v>
      </c>
      <c r="D84" s="8" t="s">
        <v>2303</v>
      </c>
      <c r="E84" s="7" t="s">
        <v>2549</v>
      </c>
      <c r="F84" s="7" t="s">
        <v>2304</v>
      </c>
      <c r="G84" s="7" t="s">
        <v>2305</v>
      </c>
      <c r="H84" s="7" t="s">
        <v>2304</v>
      </c>
      <c r="I84" s="7" t="s">
        <v>2598</v>
      </c>
      <c r="J84" s="7">
        <v>1</v>
      </c>
      <c r="K84" s="7">
        <v>2</v>
      </c>
      <c r="L84" s="7">
        <v>2</v>
      </c>
      <c r="M84" s="7" t="s">
        <v>2599</v>
      </c>
      <c r="N84" s="7" t="s">
        <v>122</v>
      </c>
      <c r="O84" s="59" t="s">
        <v>2600</v>
      </c>
    </row>
    <row r="85" spans="1:15" ht="28.5" customHeight="1" x14ac:dyDescent="0.2">
      <c r="A85" s="11">
        <v>84</v>
      </c>
      <c r="B85" s="12" t="s">
        <v>2601</v>
      </c>
      <c r="C85" s="12" t="s">
        <v>2602</v>
      </c>
      <c r="D85" s="13" t="s">
        <v>2303</v>
      </c>
      <c r="E85" s="12" t="s">
        <v>2315</v>
      </c>
      <c r="F85" s="12" t="s">
        <v>158</v>
      </c>
      <c r="G85" s="12" t="s">
        <v>2305</v>
      </c>
      <c r="H85" s="12" t="s">
        <v>2304</v>
      </c>
      <c r="I85" s="12" t="s">
        <v>2603</v>
      </c>
      <c r="J85" s="12">
        <v>3</v>
      </c>
      <c r="K85" s="12">
        <v>3</v>
      </c>
      <c r="L85" s="12">
        <v>3</v>
      </c>
      <c r="M85" s="12" t="s">
        <v>2604</v>
      </c>
      <c r="N85" s="12" t="s">
        <v>122</v>
      </c>
      <c r="O85" s="60" t="s">
        <v>2600</v>
      </c>
    </row>
    <row r="86" spans="1:15" ht="28.5" customHeight="1" x14ac:dyDescent="0.2">
      <c r="A86" s="6">
        <v>85</v>
      </c>
      <c r="B86" s="7" t="s">
        <v>2605</v>
      </c>
      <c r="C86" s="7" t="s">
        <v>2606</v>
      </c>
      <c r="D86" s="8" t="s">
        <v>2337</v>
      </c>
      <c r="E86" s="7" t="s">
        <v>43</v>
      </c>
      <c r="F86" s="7" t="s">
        <v>2382</v>
      </c>
      <c r="G86" s="7" t="s">
        <v>2305</v>
      </c>
      <c r="H86" s="7" t="s">
        <v>2339</v>
      </c>
      <c r="I86" s="7" t="s">
        <v>2607</v>
      </c>
      <c r="J86" s="7">
        <v>0</v>
      </c>
      <c r="K86" s="7">
        <v>0</v>
      </c>
      <c r="L86" s="7">
        <v>1</v>
      </c>
      <c r="M86" s="7" t="s">
        <v>2608</v>
      </c>
      <c r="N86" s="7" t="s">
        <v>122</v>
      </c>
      <c r="O86" s="59" t="s">
        <v>2600</v>
      </c>
    </row>
    <row r="87" spans="1:15" ht="28.5" customHeight="1" x14ac:dyDescent="0.2">
      <c r="A87" s="11">
        <v>86</v>
      </c>
      <c r="B87" s="12" t="s">
        <v>2609</v>
      </c>
      <c r="C87" s="12" t="s">
        <v>2610</v>
      </c>
      <c r="D87" s="13" t="s">
        <v>2337</v>
      </c>
      <c r="E87" s="12" t="s">
        <v>2329</v>
      </c>
      <c r="F87" s="12" t="s">
        <v>2304</v>
      </c>
      <c r="G87" s="12" t="s">
        <v>2305</v>
      </c>
      <c r="H87" s="12" t="s">
        <v>2339</v>
      </c>
      <c r="I87" s="12" t="s">
        <v>2611</v>
      </c>
      <c r="J87" s="12">
        <v>3</v>
      </c>
      <c r="K87" s="12">
        <v>0</v>
      </c>
      <c r="L87" s="12">
        <v>3</v>
      </c>
      <c r="M87" s="12" t="s">
        <v>2612</v>
      </c>
      <c r="N87" s="12" t="s">
        <v>122</v>
      </c>
      <c r="O87" s="60" t="s">
        <v>2600</v>
      </c>
    </row>
    <row r="88" spans="1:15" ht="28.5" customHeight="1" x14ac:dyDescent="0.2">
      <c r="A88" s="6">
        <v>87</v>
      </c>
      <c r="B88" s="7" t="s">
        <v>2613</v>
      </c>
      <c r="C88" s="7" t="s">
        <v>2614</v>
      </c>
      <c r="D88" s="8" t="s">
        <v>2353</v>
      </c>
      <c r="E88" s="7" t="s">
        <v>130</v>
      </c>
      <c r="F88" s="7" t="s">
        <v>2399</v>
      </c>
      <c r="G88" s="7" t="s">
        <v>2305</v>
      </c>
      <c r="H88" s="7" t="s">
        <v>2400</v>
      </c>
      <c r="I88" s="7" t="s">
        <v>2304</v>
      </c>
      <c r="J88" s="7">
        <v>5</v>
      </c>
      <c r="K88" s="7">
        <v>5</v>
      </c>
      <c r="L88" s="7">
        <v>4</v>
      </c>
      <c r="M88" s="7" t="s">
        <v>2615</v>
      </c>
      <c r="N88" s="7" t="s">
        <v>122</v>
      </c>
      <c r="O88" s="59" t="s">
        <v>2600</v>
      </c>
    </row>
    <row r="89" spans="1:15" ht="28.5" customHeight="1" x14ac:dyDescent="0.2">
      <c r="A89" s="11">
        <v>88</v>
      </c>
      <c r="B89" s="12" t="s">
        <v>2616</v>
      </c>
      <c r="C89" s="12" t="s">
        <v>2617</v>
      </c>
      <c r="D89" s="13" t="s">
        <v>2370</v>
      </c>
      <c r="E89" s="12" t="s">
        <v>2304</v>
      </c>
      <c r="F89" s="12" t="s">
        <v>2304</v>
      </c>
      <c r="G89" s="12" t="s">
        <v>2520</v>
      </c>
      <c r="H89" s="12" t="s">
        <v>2304</v>
      </c>
      <c r="I89" s="12" t="s">
        <v>2618</v>
      </c>
      <c r="J89" s="12">
        <v>1</v>
      </c>
      <c r="K89" s="12"/>
      <c r="L89" s="12"/>
      <c r="M89" s="12" t="s">
        <v>2619</v>
      </c>
      <c r="N89" s="12" t="s">
        <v>122</v>
      </c>
      <c r="O89" s="60" t="s">
        <v>2600</v>
      </c>
    </row>
    <row r="90" spans="1:15" ht="28.5" customHeight="1" x14ac:dyDescent="0.2">
      <c r="A90" s="6">
        <v>89</v>
      </c>
      <c r="B90" s="7" t="s">
        <v>2620</v>
      </c>
      <c r="C90" s="7" t="s">
        <v>2621</v>
      </c>
      <c r="D90" s="8" t="s">
        <v>2370</v>
      </c>
      <c r="E90" s="7" t="s">
        <v>62</v>
      </c>
      <c r="F90" s="7" t="s">
        <v>2399</v>
      </c>
      <c r="G90" s="7" t="s">
        <v>2305</v>
      </c>
      <c r="H90" s="7" t="s">
        <v>2304</v>
      </c>
      <c r="I90" s="7" t="s">
        <v>2622</v>
      </c>
      <c r="J90" s="7">
        <v>1</v>
      </c>
      <c r="K90" s="7">
        <v>1</v>
      </c>
      <c r="L90" s="7">
        <v>2</v>
      </c>
      <c r="M90" s="7" t="s">
        <v>2623</v>
      </c>
      <c r="N90" s="7" t="s">
        <v>122</v>
      </c>
      <c r="O90" s="59" t="s">
        <v>2600</v>
      </c>
    </row>
    <row r="91" spans="1:15" ht="28.5" customHeight="1" x14ac:dyDescent="0.2">
      <c r="A91" s="11">
        <v>90</v>
      </c>
      <c r="B91" s="12" t="s">
        <v>432</v>
      </c>
      <c r="C91" s="12" t="s">
        <v>433</v>
      </c>
      <c r="D91" s="13" t="s">
        <v>2390</v>
      </c>
      <c r="E91" s="12" t="s">
        <v>31</v>
      </c>
      <c r="F91" s="12" t="s">
        <v>2304</v>
      </c>
      <c r="G91" s="12" t="s">
        <v>2305</v>
      </c>
      <c r="H91" s="12" t="s">
        <v>2304</v>
      </c>
      <c r="I91" s="12" t="s">
        <v>2624</v>
      </c>
      <c r="J91" s="12">
        <v>1</v>
      </c>
      <c r="K91" s="12">
        <v>2</v>
      </c>
      <c r="L91" s="12">
        <v>2</v>
      </c>
      <c r="M91" s="12" t="s">
        <v>2625</v>
      </c>
      <c r="N91" s="12" t="s">
        <v>122</v>
      </c>
      <c r="O91" s="60" t="s">
        <v>2600</v>
      </c>
    </row>
    <row r="92" spans="1:15" ht="28.5" customHeight="1" x14ac:dyDescent="0.2">
      <c r="A92" s="6">
        <v>91</v>
      </c>
      <c r="B92" s="7" t="s">
        <v>2626</v>
      </c>
      <c r="C92" s="7" t="s">
        <v>2627</v>
      </c>
      <c r="D92" s="8" t="s">
        <v>2303</v>
      </c>
      <c r="E92" s="7" t="s">
        <v>31</v>
      </c>
      <c r="F92" s="7" t="s">
        <v>2304</v>
      </c>
      <c r="G92" s="7" t="s">
        <v>2305</v>
      </c>
      <c r="H92" s="7" t="s">
        <v>2304</v>
      </c>
      <c r="I92" s="7" t="s">
        <v>2628</v>
      </c>
      <c r="J92" s="7">
        <v>3</v>
      </c>
      <c r="K92" s="7">
        <v>2</v>
      </c>
      <c r="L92" s="7">
        <v>2</v>
      </c>
      <c r="M92" s="7" t="s">
        <v>2629</v>
      </c>
      <c r="N92" s="7" t="s">
        <v>180</v>
      </c>
      <c r="O92" s="59" t="s">
        <v>547</v>
      </c>
    </row>
    <row r="93" spans="1:15" ht="28.5" customHeight="1" x14ac:dyDescent="0.2">
      <c r="A93" s="11">
        <v>92</v>
      </c>
      <c r="B93" s="12" t="s">
        <v>2630</v>
      </c>
      <c r="C93" s="12" t="s">
        <v>2631</v>
      </c>
      <c r="D93" s="13" t="s">
        <v>2303</v>
      </c>
      <c r="E93" s="12" t="s">
        <v>2304</v>
      </c>
      <c r="F93" s="12" t="s">
        <v>2304</v>
      </c>
      <c r="G93" s="12" t="s">
        <v>2320</v>
      </c>
      <c r="H93" s="12" t="s">
        <v>2304</v>
      </c>
      <c r="I93" s="12" t="s">
        <v>2632</v>
      </c>
      <c r="J93" s="12">
        <v>4</v>
      </c>
      <c r="K93" s="12"/>
      <c r="L93" s="12"/>
      <c r="M93" s="12" t="s">
        <v>2633</v>
      </c>
      <c r="N93" s="12" t="s">
        <v>180</v>
      </c>
      <c r="O93" s="60" t="s">
        <v>547</v>
      </c>
    </row>
    <row r="94" spans="1:15" ht="28.5" customHeight="1" x14ac:dyDescent="0.2">
      <c r="A94" s="6">
        <v>93</v>
      </c>
      <c r="B94" s="7" t="s">
        <v>2634</v>
      </c>
      <c r="C94" s="7" t="s">
        <v>2635</v>
      </c>
      <c r="D94" s="8" t="s">
        <v>2303</v>
      </c>
      <c r="E94" s="7" t="s">
        <v>2525</v>
      </c>
      <c r="F94" s="7" t="s">
        <v>2304</v>
      </c>
      <c r="G94" s="7" t="s">
        <v>2305</v>
      </c>
      <c r="H94" s="7" t="s">
        <v>2304</v>
      </c>
      <c r="I94" s="7" t="s">
        <v>2636</v>
      </c>
      <c r="J94" s="7">
        <v>4</v>
      </c>
      <c r="K94" s="7">
        <v>2</v>
      </c>
      <c r="L94" s="7">
        <v>3</v>
      </c>
      <c r="M94" s="7" t="s">
        <v>2637</v>
      </c>
      <c r="N94" s="7" t="s">
        <v>180</v>
      </c>
      <c r="O94" s="59" t="s">
        <v>547</v>
      </c>
    </row>
    <row r="95" spans="1:15" ht="28.5" customHeight="1" x14ac:dyDescent="0.2">
      <c r="A95" s="11">
        <v>94</v>
      </c>
      <c r="B95" s="12" t="s">
        <v>2638</v>
      </c>
      <c r="C95" s="12" t="s">
        <v>2639</v>
      </c>
      <c r="D95" s="13" t="s">
        <v>2303</v>
      </c>
      <c r="E95" s="12" t="s">
        <v>62</v>
      </c>
      <c r="F95" s="12" t="s">
        <v>2304</v>
      </c>
      <c r="G95" s="12" t="s">
        <v>2305</v>
      </c>
      <c r="H95" s="12" t="s">
        <v>2304</v>
      </c>
      <c r="I95" s="12" t="s">
        <v>2640</v>
      </c>
      <c r="J95" s="12">
        <v>5</v>
      </c>
      <c r="K95" s="12">
        <v>5</v>
      </c>
      <c r="L95" s="12">
        <v>5</v>
      </c>
      <c r="M95" s="12" t="s">
        <v>2641</v>
      </c>
      <c r="N95" s="12" t="s">
        <v>180</v>
      </c>
      <c r="O95" s="60" t="s">
        <v>547</v>
      </c>
    </row>
    <row r="96" spans="1:15" ht="28.5" customHeight="1" x14ac:dyDescent="0.2">
      <c r="A96" s="6">
        <v>95</v>
      </c>
      <c r="B96" s="7" t="s">
        <v>2642</v>
      </c>
      <c r="C96" s="7" t="s">
        <v>2643</v>
      </c>
      <c r="D96" s="8" t="s">
        <v>2303</v>
      </c>
      <c r="E96" s="7" t="s">
        <v>62</v>
      </c>
      <c r="F96" s="7" t="s">
        <v>2304</v>
      </c>
      <c r="G96" s="7" t="s">
        <v>2305</v>
      </c>
      <c r="H96" s="7" t="s">
        <v>2304</v>
      </c>
      <c r="I96" s="7" t="s">
        <v>2644</v>
      </c>
      <c r="J96" s="7">
        <v>6</v>
      </c>
      <c r="K96" s="7">
        <v>3</v>
      </c>
      <c r="L96" s="7">
        <v>3</v>
      </c>
      <c r="M96" s="7" t="s">
        <v>2645</v>
      </c>
      <c r="N96" s="7" t="s">
        <v>180</v>
      </c>
      <c r="O96" s="59" t="s">
        <v>547</v>
      </c>
    </row>
    <row r="97" spans="1:15" ht="28.5" customHeight="1" x14ac:dyDescent="0.2">
      <c r="A97" s="11">
        <v>96</v>
      </c>
      <c r="B97" s="12" t="s">
        <v>2646</v>
      </c>
      <c r="C97" s="12" t="s">
        <v>2647</v>
      </c>
      <c r="D97" s="13" t="s">
        <v>2337</v>
      </c>
      <c r="E97" s="12" t="s">
        <v>2315</v>
      </c>
      <c r="F97" s="12" t="s">
        <v>2304</v>
      </c>
      <c r="G97" s="12" t="s">
        <v>2305</v>
      </c>
      <c r="H97" s="12" t="s">
        <v>2304</v>
      </c>
      <c r="I97" s="12" t="s">
        <v>2648</v>
      </c>
      <c r="J97" s="12">
        <v>2</v>
      </c>
      <c r="K97" s="12">
        <v>2</v>
      </c>
      <c r="L97" s="12">
        <v>1</v>
      </c>
      <c r="M97" s="12" t="s">
        <v>2649</v>
      </c>
      <c r="N97" s="12" t="s">
        <v>180</v>
      </c>
      <c r="O97" s="60" t="s">
        <v>547</v>
      </c>
    </row>
    <row r="98" spans="1:15" ht="28.5" customHeight="1" x14ac:dyDescent="0.2">
      <c r="A98" s="6">
        <v>97</v>
      </c>
      <c r="B98" s="7" t="s">
        <v>2650</v>
      </c>
      <c r="C98" s="7" t="s">
        <v>348</v>
      </c>
      <c r="D98" s="8" t="s">
        <v>2337</v>
      </c>
      <c r="E98" s="7" t="s">
        <v>2315</v>
      </c>
      <c r="F98" s="7" t="s">
        <v>2304</v>
      </c>
      <c r="G98" s="7" t="s">
        <v>2305</v>
      </c>
      <c r="H98" s="7" t="s">
        <v>2304</v>
      </c>
      <c r="I98" s="7" t="s">
        <v>2651</v>
      </c>
      <c r="J98" s="7">
        <v>3</v>
      </c>
      <c r="K98" s="7">
        <v>0</v>
      </c>
      <c r="L98" s="7">
        <v>1</v>
      </c>
      <c r="M98" s="7" t="s">
        <v>2652</v>
      </c>
      <c r="N98" s="7" t="s">
        <v>180</v>
      </c>
      <c r="O98" s="59" t="s">
        <v>547</v>
      </c>
    </row>
    <row r="99" spans="1:15" ht="28.5" customHeight="1" x14ac:dyDescent="0.2">
      <c r="A99" s="11">
        <v>98</v>
      </c>
      <c r="B99" s="12" t="s">
        <v>2653</v>
      </c>
      <c r="C99" s="12" t="s">
        <v>2654</v>
      </c>
      <c r="D99" s="13" t="s">
        <v>2337</v>
      </c>
      <c r="E99" s="12" t="s">
        <v>2304</v>
      </c>
      <c r="F99" s="12" t="s">
        <v>2304</v>
      </c>
      <c r="G99" s="12" t="s">
        <v>2320</v>
      </c>
      <c r="H99" s="12" t="s">
        <v>2304</v>
      </c>
      <c r="I99" s="12" t="s">
        <v>2655</v>
      </c>
      <c r="J99" s="12">
        <v>3</v>
      </c>
      <c r="K99" s="12"/>
      <c r="L99" s="12"/>
      <c r="M99" s="12" t="s">
        <v>2656</v>
      </c>
      <c r="N99" s="12" t="s">
        <v>180</v>
      </c>
      <c r="O99" s="60" t="s">
        <v>547</v>
      </c>
    </row>
    <row r="100" spans="1:15" ht="28.5" customHeight="1" x14ac:dyDescent="0.2">
      <c r="A100" s="6">
        <v>99</v>
      </c>
      <c r="B100" s="7" t="s">
        <v>2657</v>
      </c>
      <c r="C100" s="7" t="s">
        <v>2658</v>
      </c>
      <c r="D100" s="8" t="s">
        <v>2337</v>
      </c>
      <c r="E100" s="7" t="s">
        <v>2304</v>
      </c>
      <c r="F100" s="7" t="s">
        <v>2304</v>
      </c>
      <c r="G100" s="7" t="s">
        <v>2320</v>
      </c>
      <c r="H100" s="7" t="s">
        <v>2304</v>
      </c>
      <c r="I100" s="7" t="s">
        <v>2659</v>
      </c>
      <c r="J100" s="7">
        <v>4</v>
      </c>
      <c r="K100" s="7"/>
      <c r="L100" s="7"/>
      <c r="M100" s="7" t="s">
        <v>2660</v>
      </c>
      <c r="N100" s="7" t="s">
        <v>180</v>
      </c>
      <c r="O100" s="59" t="s">
        <v>547</v>
      </c>
    </row>
    <row r="101" spans="1:15" ht="28.5" customHeight="1" x14ac:dyDescent="0.2">
      <c r="A101" s="11">
        <v>100</v>
      </c>
      <c r="B101" s="12" t="s">
        <v>2661</v>
      </c>
      <c r="C101" s="12" t="s">
        <v>2662</v>
      </c>
      <c r="D101" s="13" t="s">
        <v>2337</v>
      </c>
      <c r="E101" s="12" t="s">
        <v>43</v>
      </c>
      <c r="F101" s="12" t="s">
        <v>2304</v>
      </c>
      <c r="G101" s="12" t="s">
        <v>2305</v>
      </c>
      <c r="H101" s="12" t="s">
        <v>2426</v>
      </c>
      <c r="I101" s="12" t="s">
        <v>2663</v>
      </c>
      <c r="J101" s="12">
        <v>5</v>
      </c>
      <c r="K101" s="12">
        <v>3</v>
      </c>
      <c r="L101" s="12">
        <v>5</v>
      </c>
      <c r="M101" s="12" t="s">
        <v>2664</v>
      </c>
      <c r="N101" s="12" t="s">
        <v>180</v>
      </c>
      <c r="O101" s="60" t="s">
        <v>547</v>
      </c>
    </row>
    <row r="102" spans="1:15" ht="28.5" customHeight="1" x14ac:dyDescent="0.2">
      <c r="A102" s="6">
        <v>101</v>
      </c>
      <c r="B102" s="7" t="s">
        <v>93</v>
      </c>
      <c r="C102" s="7" t="s">
        <v>2665</v>
      </c>
      <c r="D102" s="8" t="s">
        <v>2353</v>
      </c>
      <c r="E102" s="7" t="s">
        <v>62</v>
      </c>
      <c r="F102" s="7" t="s">
        <v>2304</v>
      </c>
      <c r="G102" s="7" t="s">
        <v>2320</v>
      </c>
      <c r="H102" s="7" t="s">
        <v>2304</v>
      </c>
      <c r="I102" s="7" t="s">
        <v>2666</v>
      </c>
      <c r="J102" s="7">
        <v>2</v>
      </c>
      <c r="K102" s="7"/>
      <c r="L102" s="7"/>
      <c r="M102" s="7" t="s">
        <v>2667</v>
      </c>
      <c r="N102" s="7" t="s">
        <v>180</v>
      </c>
      <c r="O102" s="59" t="s">
        <v>547</v>
      </c>
    </row>
    <row r="103" spans="1:15" ht="28.5" customHeight="1" x14ac:dyDescent="0.2">
      <c r="A103" s="11">
        <v>102</v>
      </c>
      <c r="B103" s="12" t="s">
        <v>2668</v>
      </c>
      <c r="C103" s="12" t="s">
        <v>2669</v>
      </c>
      <c r="D103" s="13" t="s">
        <v>2353</v>
      </c>
      <c r="E103" s="12" t="s">
        <v>2399</v>
      </c>
      <c r="F103" s="12" t="s">
        <v>187</v>
      </c>
      <c r="G103" s="12" t="s">
        <v>2305</v>
      </c>
      <c r="H103" s="12" t="s">
        <v>2304</v>
      </c>
      <c r="I103" s="12" t="s">
        <v>2670</v>
      </c>
      <c r="J103" s="12">
        <v>3</v>
      </c>
      <c r="K103" s="12">
        <v>0</v>
      </c>
      <c r="L103" s="12">
        <v>8</v>
      </c>
      <c r="M103" s="12" t="s">
        <v>2671</v>
      </c>
      <c r="N103" s="12" t="s">
        <v>180</v>
      </c>
      <c r="O103" s="60" t="s">
        <v>547</v>
      </c>
    </row>
    <row r="104" spans="1:15" ht="28.5" customHeight="1" x14ac:dyDescent="0.2">
      <c r="A104" s="6">
        <v>103</v>
      </c>
      <c r="B104" s="7" t="s">
        <v>2672</v>
      </c>
      <c r="C104" s="7" t="s">
        <v>2673</v>
      </c>
      <c r="D104" s="8" t="s">
        <v>2353</v>
      </c>
      <c r="E104" s="7" t="s">
        <v>531</v>
      </c>
      <c r="F104" s="7" t="s">
        <v>130</v>
      </c>
      <c r="G104" s="7" t="s">
        <v>2305</v>
      </c>
      <c r="H104" s="7" t="s">
        <v>2339</v>
      </c>
      <c r="I104" s="7" t="s">
        <v>2674</v>
      </c>
      <c r="J104" s="7">
        <v>5</v>
      </c>
      <c r="K104" s="7">
        <v>0</v>
      </c>
      <c r="L104" s="7">
        <v>4</v>
      </c>
      <c r="M104" s="7" t="s">
        <v>2675</v>
      </c>
      <c r="N104" s="7" t="s">
        <v>180</v>
      </c>
      <c r="O104" s="59" t="s">
        <v>547</v>
      </c>
    </row>
    <row r="105" spans="1:15" ht="28.5" customHeight="1" x14ac:dyDescent="0.2">
      <c r="A105" s="11">
        <v>104</v>
      </c>
      <c r="B105" s="12" t="s">
        <v>2676</v>
      </c>
      <c r="C105" s="12" t="s">
        <v>2677</v>
      </c>
      <c r="D105" s="13" t="s">
        <v>2353</v>
      </c>
      <c r="E105" s="12" t="s">
        <v>52</v>
      </c>
      <c r="F105" s="12" t="s">
        <v>2304</v>
      </c>
      <c r="G105" s="12" t="s">
        <v>2305</v>
      </c>
      <c r="H105" s="12" t="s">
        <v>2400</v>
      </c>
      <c r="I105" s="12" t="s">
        <v>2678</v>
      </c>
      <c r="J105" s="12">
        <v>5</v>
      </c>
      <c r="K105" s="12">
        <v>4</v>
      </c>
      <c r="L105" s="12">
        <v>4</v>
      </c>
      <c r="M105" s="12" t="s">
        <v>2679</v>
      </c>
      <c r="N105" s="12" t="s">
        <v>180</v>
      </c>
      <c r="O105" s="60" t="s">
        <v>547</v>
      </c>
    </row>
    <row r="106" spans="1:15" ht="28.5" customHeight="1" x14ac:dyDescent="0.2">
      <c r="A106" s="6">
        <v>105</v>
      </c>
      <c r="B106" s="7" t="s">
        <v>2680</v>
      </c>
      <c r="C106" s="7" t="s">
        <v>2681</v>
      </c>
      <c r="D106" s="8" t="s">
        <v>2353</v>
      </c>
      <c r="E106" s="7" t="s">
        <v>62</v>
      </c>
      <c r="F106" s="7" t="s">
        <v>2304</v>
      </c>
      <c r="G106" s="7" t="s">
        <v>2305</v>
      </c>
      <c r="H106" s="7" t="s">
        <v>2682</v>
      </c>
      <c r="I106" s="7" t="s">
        <v>2683</v>
      </c>
      <c r="J106" s="7">
        <v>5</v>
      </c>
      <c r="K106" s="7">
        <v>6</v>
      </c>
      <c r="L106" s="7">
        <v>1</v>
      </c>
      <c r="M106" s="7" t="s">
        <v>2684</v>
      </c>
      <c r="N106" s="7" t="s">
        <v>180</v>
      </c>
      <c r="O106" s="59" t="s">
        <v>547</v>
      </c>
    </row>
    <row r="107" spans="1:15" ht="28.5" customHeight="1" x14ac:dyDescent="0.2">
      <c r="A107" s="11">
        <v>106</v>
      </c>
      <c r="B107" s="12" t="s">
        <v>2685</v>
      </c>
      <c r="C107" s="12" t="s">
        <v>2686</v>
      </c>
      <c r="D107" s="13" t="s">
        <v>2370</v>
      </c>
      <c r="E107" s="12" t="s">
        <v>2329</v>
      </c>
      <c r="F107" s="12" t="s">
        <v>2304</v>
      </c>
      <c r="G107" s="12" t="s">
        <v>2305</v>
      </c>
      <c r="H107" s="12" t="s">
        <v>2304</v>
      </c>
      <c r="I107" s="12" t="s">
        <v>2687</v>
      </c>
      <c r="J107" s="12">
        <v>1</v>
      </c>
      <c r="K107" s="12">
        <v>1</v>
      </c>
      <c r="L107" s="12">
        <v>1</v>
      </c>
      <c r="M107" s="12" t="s">
        <v>2688</v>
      </c>
      <c r="N107" s="12" t="s">
        <v>180</v>
      </c>
      <c r="O107" s="60" t="s">
        <v>547</v>
      </c>
    </row>
    <row r="108" spans="1:15" ht="28.5" customHeight="1" x14ac:dyDescent="0.2">
      <c r="A108" s="6">
        <v>107</v>
      </c>
      <c r="B108" s="7" t="s">
        <v>2689</v>
      </c>
      <c r="C108" s="7" t="s">
        <v>2690</v>
      </c>
      <c r="D108" s="8" t="s">
        <v>2370</v>
      </c>
      <c r="E108" s="7" t="s">
        <v>187</v>
      </c>
      <c r="F108" s="7" t="s">
        <v>2304</v>
      </c>
      <c r="G108" s="7" t="s">
        <v>2305</v>
      </c>
      <c r="H108" s="7" t="s">
        <v>2304</v>
      </c>
      <c r="I108" s="7" t="s">
        <v>2691</v>
      </c>
      <c r="J108" s="7">
        <v>2</v>
      </c>
      <c r="K108" s="7">
        <v>4</v>
      </c>
      <c r="L108" s="7">
        <v>1</v>
      </c>
      <c r="M108" s="7" t="s">
        <v>2692</v>
      </c>
      <c r="N108" s="7" t="s">
        <v>180</v>
      </c>
      <c r="O108" s="59" t="s">
        <v>547</v>
      </c>
    </row>
    <row r="109" spans="1:15" ht="28.5" customHeight="1" x14ac:dyDescent="0.2">
      <c r="A109" s="11">
        <v>108</v>
      </c>
      <c r="B109" s="12" t="s">
        <v>2693</v>
      </c>
      <c r="C109" s="12" t="s">
        <v>2694</v>
      </c>
      <c r="D109" s="13" t="s">
        <v>2370</v>
      </c>
      <c r="E109" s="12" t="s">
        <v>43</v>
      </c>
      <c r="F109" s="12" t="s">
        <v>2304</v>
      </c>
      <c r="G109" s="12" t="s">
        <v>2320</v>
      </c>
      <c r="H109" s="12" t="s">
        <v>2304</v>
      </c>
      <c r="I109" s="12" t="s">
        <v>2695</v>
      </c>
      <c r="J109" s="12">
        <v>4</v>
      </c>
      <c r="K109" s="12"/>
      <c r="L109" s="12"/>
      <c r="M109" s="12" t="s">
        <v>2696</v>
      </c>
      <c r="N109" s="12" t="s">
        <v>180</v>
      </c>
      <c r="O109" s="60" t="s">
        <v>547</v>
      </c>
    </row>
    <row r="110" spans="1:15" ht="28.5" customHeight="1" x14ac:dyDescent="0.2">
      <c r="A110" s="6">
        <v>109</v>
      </c>
      <c r="B110" s="7" t="s">
        <v>2697</v>
      </c>
      <c r="C110" s="7" t="s">
        <v>2698</v>
      </c>
      <c r="D110" s="8" t="s">
        <v>2370</v>
      </c>
      <c r="E110" s="7" t="s">
        <v>187</v>
      </c>
      <c r="F110" s="7" t="s">
        <v>2304</v>
      </c>
      <c r="G110" s="7" t="s">
        <v>2305</v>
      </c>
      <c r="H110" s="7" t="s">
        <v>2304</v>
      </c>
      <c r="I110" s="7" t="s">
        <v>2699</v>
      </c>
      <c r="J110" s="7">
        <v>4</v>
      </c>
      <c r="K110" s="7">
        <v>2</v>
      </c>
      <c r="L110" s="7">
        <v>2</v>
      </c>
      <c r="M110" s="7" t="s">
        <v>2700</v>
      </c>
      <c r="N110" s="7" t="s">
        <v>180</v>
      </c>
      <c r="O110" s="59" t="s">
        <v>547</v>
      </c>
    </row>
    <row r="111" spans="1:15" ht="28.5" customHeight="1" x14ac:dyDescent="0.2">
      <c r="A111" s="11">
        <v>110</v>
      </c>
      <c r="B111" s="12" t="s">
        <v>2701</v>
      </c>
      <c r="C111" s="12" t="s">
        <v>2702</v>
      </c>
      <c r="D111" s="13" t="s">
        <v>2370</v>
      </c>
      <c r="E111" s="12" t="s">
        <v>2309</v>
      </c>
      <c r="F111" s="12" t="s">
        <v>2304</v>
      </c>
      <c r="G111" s="12" t="s">
        <v>2305</v>
      </c>
      <c r="H111" s="12" t="s">
        <v>2703</v>
      </c>
      <c r="I111" s="12" t="s">
        <v>2304</v>
      </c>
      <c r="J111" s="12">
        <v>6</v>
      </c>
      <c r="K111" s="12">
        <v>4</v>
      </c>
      <c r="L111" s="12">
        <v>5</v>
      </c>
      <c r="M111" s="12" t="s">
        <v>2704</v>
      </c>
      <c r="N111" s="12" t="s">
        <v>180</v>
      </c>
      <c r="O111" s="60" t="s">
        <v>547</v>
      </c>
    </row>
    <row r="112" spans="1:15" ht="28.5" customHeight="1" x14ac:dyDescent="0.2">
      <c r="A112" s="6">
        <v>111</v>
      </c>
      <c r="B112" s="7" t="s">
        <v>2705</v>
      </c>
      <c r="C112" s="7" t="s">
        <v>2706</v>
      </c>
      <c r="D112" s="8" t="s">
        <v>2390</v>
      </c>
      <c r="E112" s="7" t="s">
        <v>158</v>
      </c>
      <c r="F112" s="7" t="s">
        <v>2304</v>
      </c>
      <c r="G112" s="7" t="s">
        <v>2305</v>
      </c>
      <c r="H112" s="7" t="s">
        <v>2460</v>
      </c>
      <c r="I112" s="7" t="s">
        <v>2707</v>
      </c>
      <c r="J112" s="7">
        <v>1</v>
      </c>
      <c r="K112" s="7">
        <v>1</v>
      </c>
      <c r="L112" s="7">
        <v>1</v>
      </c>
      <c r="M112" s="7" t="s">
        <v>2708</v>
      </c>
      <c r="N112" s="7" t="s">
        <v>180</v>
      </c>
      <c r="O112" s="59" t="s">
        <v>547</v>
      </c>
    </row>
    <row r="113" spans="1:15" ht="28.5" customHeight="1" x14ac:dyDescent="0.2">
      <c r="A113" s="11">
        <v>112</v>
      </c>
      <c r="B113" s="12" t="s">
        <v>214</v>
      </c>
      <c r="C113" s="12" t="s">
        <v>2709</v>
      </c>
      <c r="D113" s="13" t="s">
        <v>2390</v>
      </c>
      <c r="E113" s="12" t="s">
        <v>2315</v>
      </c>
      <c r="F113" s="12" t="s">
        <v>2304</v>
      </c>
      <c r="G113" s="12" t="s">
        <v>2305</v>
      </c>
      <c r="H113" s="12" t="s">
        <v>2710</v>
      </c>
      <c r="I113" s="12" t="s">
        <v>2304</v>
      </c>
      <c r="J113" s="12">
        <v>2</v>
      </c>
      <c r="K113" s="12">
        <v>1</v>
      </c>
      <c r="L113" s="12">
        <v>2</v>
      </c>
      <c r="M113" s="12" t="s">
        <v>2711</v>
      </c>
      <c r="N113" s="12" t="s">
        <v>180</v>
      </c>
      <c r="O113" s="60" t="s">
        <v>547</v>
      </c>
    </row>
    <row r="114" spans="1:15" ht="28.5" customHeight="1" x14ac:dyDescent="0.2">
      <c r="A114" s="6">
        <v>113</v>
      </c>
      <c r="B114" s="7" t="s">
        <v>1188</v>
      </c>
      <c r="C114" s="7" t="s">
        <v>1189</v>
      </c>
      <c r="D114" s="8" t="s">
        <v>2390</v>
      </c>
      <c r="E114" s="7" t="s">
        <v>130</v>
      </c>
      <c r="F114" s="7" t="s">
        <v>2304</v>
      </c>
      <c r="G114" s="7" t="s">
        <v>2305</v>
      </c>
      <c r="H114" s="7" t="s">
        <v>2304</v>
      </c>
      <c r="I114" s="7" t="s">
        <v>2712</v>
      </c>
      <c r="J114" s="7">
        <v>3</v>
      </c>
      <c r="K114" s="7">
        <v>2</v>
      </c>
      <c r="L114" s="7">
        <v>1</v>
      </c>
      <c r="M114" s="7" t="s">
        <v>2713</v>
      </c>
      <c r="N114" s="7" t="s">
        <v>180</v>
      </c>
      <c r="O114" s="59" t="s">
        <v>547</v>
      </c>
    </row>
    <row r="115" spans="1:15" ht="28.5" customHeight="1" x14ac:dyDescent="0.2">
      <c r="A115" s="11">
        <v>114</v>
      </c>
      <c r="B115" s="12" t="s">
        <v>2714</v>
      </c>
      <c r="C115" s="12" t="s">
        <v>2715</v>
      </c>
      <c r="D115" s="13" t="s">
        <v>2390</v>
      </c>
      <c r="E115" s="12" t="s">
        <v>158</v>
      </c>
      <c r="F115" s="12" t="s">
        <v>2304</v>
      </c>
      <c r="G115" s="12" t="s">
        <v>2305</v>
      </c>
      <c r="H115" s="12" t="s">
        <v>2460</v>
      </c>
      <c r="I115" s="12" t="s">
        <v>2716</v>
      </c>
      <c r="J115" s="12">
        <v>4</v>
      </c>
      <c r="K115" s="12">
        <v>2</v>
      </c>
      <c r="L115" s="12">
        <v>2</v>
      </c>
      <c r="M115" s="12" t="s">
        <v>2717</v>
      </c>
      <c r="N115" s="12" t="s">
        <v>180</v>
      </c>
      <c r="O115" s="60" t="s">
        <v>547</v>
      </c>
    </row>
    <row r="116" spans="1:15" ht="28.5" customHeight="1" x14ac:dyDescent="0.2">
      <c r="A116" s="6">
        <v>115</v>
      </c>
      <c r="B116" s="7" t="s">
        <v>2718</v>
      </c>
      <c r="C116" s="7" t="s">
        <v>2719</v>
      </c>
      <c r="D116" s="8" t="s">
        <v>2390</v>
      </c>
      <c r="E116" s="7" t="s">
        <v>158</v>
      </c>
      <c r="F116" s="7" t="s">
        <v>2304</v>
      </c>
      <c r="G116" s="7" t="s">
        <v>2305</v>
      </c>
      <c r="H116" s="7" t="s">
        <v>2304</v>
      </c>
      <c r="I116" s="7" t="s">
        <v>2720</v>
      </c>
      <c r="J116" s="7">
        <v>5</v>
      </c>
      <c r="K116" s="7">
        <v>3</v>
      </c>
      <c r="L116" s="7">
        <v>2</v>
      </c>
      <c r="M116" s="7" t="s">
        <v>2721</v>
      </c>
      <c r="N116" s="7" t="s">
        <v>180</v>
      </c>
      <c r="O116" s="59" t="s">
        <v>547</v>
      </c>
    </row>
    <row r="117" spans="1:15" ht="28.5" customHeight="1" x14ac:dyDescent="0.2">
      <c r="A117" s="11">
        <v>116</v>
      </c>
      <c r="B117" s="12" t="s">
        <v>2722</v>
      </c>
      <c r="C117" s="12" t="s">
        <v>2723</v>
      </c>
      <c r="D117" s="13" t="s">
        <v>2303</v>
      </c>
      <c r="E117" s="12" t="s">
        <v>2549</v>
      </c>
      <c r="F117" s="12" t="s">
        <v>2304</v>
      </c>
      <c r="G117" s="12" t="s">
        <v>2320</v>
      </c>
      <c r="H117" s="12" t="s">
        <v>2304</v>
      </c>
      <c r="I117" s="12" t="s">
        <v>2724</v>
      </c>
      <c r="J117" s="12">
        <v>1</v>
      </c>
      <c r="K117" s="12"/>
      <c r="L117" s="12"/>
      <c r="M117" s="12" t="s">
        <v>2725</v>
      </c>
      <c r="N117" s="12" t="s">
        <v>180</v>
      </c>
      <c r="O117" s="60" t="s">
        <v>2516</v>
      </c>
    </row>
    <row r="118" spans="1:15" ht="28.5" customHeight="1" x14ac:dyDescent="0.2">
      <c r="A118" s="6">
        <v>117</v>
      </c>
      <c r="B118" s="7" t="s">
        <v>2726</v>
      </c>
      <c r="C118" s="7" t="s">
        <v>2727</v>
      </c>
      <c r="D118" s="8" t="s">
        <v>2303</v>
      </c>
      <c r="E118" s="7" t="s">
        <v>31</v>
      </c>
      <c r="F118" s="7" t="s">
        <v>2304</v>
      </c>
      <c r="G118" s="7" t="s">
        <v>2305</v>
      </c>
      <c r="H118" s="7" t="s">
        <v>2333</v>
      </c>
      <c r="I118" s="7" t="s">
        <v>2728</v>
      </c>
      <c r="J118" s="7">
        <v>3</v>
      </c>
      <c r="K118" s="7">
        <v>1</v>
      </c>
      <c r="L118" s="7">
        <v>1</v>
      </c>
      <c r="M118" s="7" t="s">
        <v>2729</v>
      </c>
      <c r="N118" s="7" t="s">
        <v>180</v>
      </c>
      <c r="O118" s="59" t="s">
        <v>2516</v>
      </c>
    </row>
    <row r="119" spans="1:15" ht="28.5" customHeight="1" x14ac:dyDescent="0.2">
      <c r="A119" s="11">
        <v>118</v>
      </c>
      <c r="B119" s="12" t="s">
        <v>2730</v>
      </c>
      <c r="C119" s="12" t="s">
        <v>2731</v>
      </c>
      <c r="D119" s="13" t="s">
        <v>2337</v>
      </c>
      <c r="E119" s="12" t="s">
        <v>43</v>
      </c>
      <c r="F119" s="12" t="s">
        <v>2304</v>
      </c>
      <c r="G119" s="12" t="s">
        <v>2305</v>
      </c>
      <c r="H119" s="12" t="s">
        <v>2426</v>
      </c>
      <c r="I119" s="12" t="s">
        <v>2732</v>
      </c>
      <c r="J119" s="12">
        <v>3</v>
      </c>
      <c r="K119" s="12">
        <v>2</v>
      </c>
      <c r="L119" s="12">
        <v>1</v>
      </c>
      <c r="M119" s="12" t="s">
        <v>2733</v>
      </c>
      <c r="N119" s="12" t="s">
        <v>180</v>
      </c>
      <c r="O119" s="60" t="s">
        <v>2516</v>
      </c>
    </row>
    <row r="120" spans="1:15" ht="28.5" customHeight="1" x14ac:dyDescent="0.2">
      <c r="A120" s="6">
        <v>119</v>
      </c>
      <c r="B120" s="7" t="s">
        <v>2734</v>
      </c>
      <c r="C120" s="7" t="s">
        <v>2735</v>
      </c>
      <c r="D120" s="8" t="s">
        <v>2337</v>
      </c>
      <c r="E120" s="7" t="s">
        <v>2315</v>
      </c>
      <c r="F120" s="7" t="s">
        <v>43</v>
      </c>
      <c r="G120" s="7" t="s">
        <v>2305</v>
      </c>
      <c r="H120" s="7" t="s">
        <v>2304</v>
      </c>
      <c r="I120" s="7" t="s">
        <v>2736</v>
      </c>
      <c r="J120" s="7">
        <v>4</v>
      </c>
      <c r="K120" s="7">
        <v>3</v>
      </c>
      <c r="L120" s="7">
        <v>4</v>
      </c>
      <c r="M120" s="7" t="s">
        <v>2737</v>
      </c>
      <c r="N120" s="7" t="s">
        <v>180</v>
      </c>
      <c r="O120" s="59" t="s">
        <v>2516</v>
      </c>
    </row>
    <row r="121" spans="1:15" ht="28.5" customHeight="1" x14ac:dyDescent="0.2">
      <c r="A121" s="11">
        <v>120</v>
      </c>
      <c r="B121" s="12" t="s">
        <v>2738</v>
      </c>
      <c r="C121" s="12" t="s">
        <v>2739</v>
      </c>
      <c r="D121" s="13" t="s">
        <v>2353</v>
      </c>
      <c r="E121" s="12" t="s">
        <v>52</v>
      </c>
      <c r="F121" s="12" t="s">
        <v>2304</v>
      </c>
      <c r="G121" s="12" t="s">
        <v>2305</v>
      </c>
      <c r="H121" s="12" t="s">
        <v>2304</v>
      </c>
      <c r="I121" s="12" t="s">
        <v>2740</v>
      </c>
      <c r="J121" s="12">
        <v>4</v>
      </c>
      <c r="K121" s="12">
        <v>3</v>
      </c>
      <c r="L121" s="12">
        <v>3</v>
      </c>
      <c r="M121" s="12" t="s">
        <v>2741</v>
      </c>
      <c r="N121" s="12" t="s">
        <v>180</v>
      </c>
      <c r="O121" s="60" t="s">
        <v>2516</v>
      </c>
    </row>
    <row r="122" spans="1:15" ht="28.5" customHeight="1" x14ac:dyDescent="0.2">
      <c r="A122" s="6">
        <v>121</v>
      </c>
      <c r="B122" s="7" t="s">
        <v>2742</v>
      </c>
      <c r="C122" s="7" t="s">
        <v>2743</v>
      </c>
      <c r="D122" s="8" t="s">
        <v>2353</v>
      </c>
      <c r="E122" s="7" t="s">
        <v>62</v>
      </c>
      <c r="F122" s="7" t="s">
        <v>2304</v>
      </c>
      <c r="G122" s="7" t="s">
        <v>2305</v>
      </c>
      <c r="H122" s="7" t="s">
        <v>2304</v>
      </c>
      <c r="I122" s="7" t="s">
        <v>2744</v>
      </c>
      <c r="J122" s="7">
        <v>4</v>
      </c>
      <c r="K122" s="7">
        <v>2</v>
      </c>
      <c r="L122" s="7">
        <v>4</v>
      </c>
      <c r="M122" s="7" t="s">
        <v>2745</v>
      </c>
      <c r="N122" s="7" t="s">
        <v>180</v>
      </c>
      <c r="O122" s="59" t="s">
        <v>2516</v>
      </c>
    </row>
    <row r="123" spans="1:15" ht="28.5" customHeight="1" x14ac:dyDescent="0.2">
      <c r="A123" s="11">
        <v>122</v>
      </c>
      <c r="B123" s="12" t="s">
        <v>2746</v>
      </c>
      <c r="C123" s="12" t="s">
        <v>2747</v>
      </c>
      <c r="D123" s="13" t="s">
        <v>2370</v>
      </c>
      <c r="E123" s="12" t="s">
        <v>2329</v>
      </c>
      <c r="F123" s="12" t="s">
        <v>2304</v>
      </c>
      <c r="G123" s="12" t="s">
        <v>2305</v>
      </c>
      <c r="H123" s="12" t="s">
        <v>2304</v>
      </c>
      <c r="I123" s="12" t="s">
        <v>2748</v>
      </c>
      <c r="J123" s="12">
        <v>3</v>
      </c>
      <c r="K123" s="12">
        <v>2</v>
      </c>
      <c r="L123" s="12">
        <v>2</v>
      </c>
      <c r="M123" s="12" t="s">
        <v>2749</v>
      </c>
      <c r="N123" s="12" t="s">
        <v>180</v>
      </c>
      <c r="O123" s="60" t="s">
        <v>2516</v>
      </c>
    </row>
    <row r="124" spans="1:15" ht="28.5" customHeight="1" x14ac:dyDescent="0.2">
      <c r="A124" s="6">
        <v>123</v>
      </c>
      <c r="B124" s="7" t="s">
        <v>757</v>
      </c>
      <c r="C124" s="7" t="s">
        <v>758</v>
      </c>
      <c r="D124" s="8" t="s">
        <v>2370</v>
      </c>
      <c r="E124" s="7" t="s">
        <v>130</v>
      </c>
      <c r="F124" s="7" t="s">
        <v>2304</v>
      </c>
      <c r="G124" s="7" t="s">
        <v>2320</v>
      </c>
      <c r="H124" s="7" t="s">
        <v>2304</v>
      </c>
      <c r="I124" s="7" t="s">
        <v>2750</v>
      </c>
      <c r="J124" s="7">
        <v>5</v>
      </c>
      <c r="K124" s="7"/>
      <c r="L124" s="7"/>
      <c r="M124" s="7" t="s">
        <v>2751</v>
      </c>
      <c r="N124" s="7" t="s">
        <v>180</v>
      </c>
      <c r="O124" s="59" t="s">
        <v>2516</v>
      </c>
    </row>
    <row r="125" spans="1:15" ht="28.5" customHeight="1" x14ac:dyDescent="0.2">
      <c r="A125" s="11">
        <v>124</v>
      </c>
      <c r="B125" s="12" t="s">
        <v>2752</v>
      </c>
      <c r="C125" s="12" t="s">
        <v>2753</v>
      </c>
      <c r="D125" s="13" t="s">
        <v>2390</v>
      </c>
      <c r="E125" s="12" t="s">
        <v>158</v>
      </c>
      <c r="F125" s="12" t="s">
        <v>2304</v>
      </c>
      <c r="G125" s="12" t="s">
        <v>2305</v>
      </c>
      <c r="H125" s="12" t="s">
        <v>2339</v>
      </c>
      <c r="I125" s="12" t="s">
        <v>2754</v>
      </c>
      <c r="J125" s="12">
        <v>2</v>
      </c>
      <c r="K125" s="12">
        <v>1</v>
      </c>
      <c r="L125" s="12">
        <v>1</v>
      </c>
      <c r="M125" s="12" t="s">
        <v>2755</v>
      </c>
      <c r="N125" s="12" t="s">
        <v>180</v>
      </c>
      <c r="O125" s="60" t="s">
        <v>2516</v>
      </c>
    </row>
    <row r="126" spans="1:15" ht="28.5" customHeight="1" x14ac:dyDescent="0.2">
      <c r="A126" s="6">
        <v>125</v>
      </c>
      <c r="B126" s="7" t="s">
        <v>2756</v>
      </c>
      <c r="C126" s="7" t="s">
        <v>2757</v>
      </c>
      <c r="D126" s="8" t="s">
        <v>2390</v>
      </c>
      <c r="E126" s="7" t="s">
        <v>130</v>
      </c>
      <c r="F126" s="7" t="s">
        <v>2304</v>
      </c>
      <c r="G126" s="7" t="s">
        <v>2305</v>
      </c>
      <c r="H126" s="7" t="s">
        <v>2758</v>
      </c>
      <c r="I126" s="7" t="s">
        <v>2304</v>
      </c>
      <c r="J126" s="7">
        <v>5</v>
      </c>
      <c r="K126" s="7">
        <v>3</v>
      </c>
      <c r="L126" s="7">
        <v>4</v>
      </c>
      <c r="M126" s="7" t="s">
        <v>2759</v>
      </c>
      <c r="N126" s="7" t="s">
        <v>180</v>
      </c>
      <c r="O126" s="59" t="s">
        <v>2516</v>
      </c>
    </row>
    <row r="127" spans="1:15" ht="28.5" customHeight="1" x14ac:dyDescent="0.2">
      <c r="A127" s="11">
        <v>126</v>
      </c>
      <c r="B127" s="12" t="s">
        <v>2760</v>
      </c>
      <c r="C127" s="12" t="s">
        <v>2761</v>
      </c>
      <c r="D127" s="13" t="s">
        <v>2303</v>
      </c>
      <c r="E127" s="12" t="s">
        <v>2315</v>
      </c>
      <c r="F127" s="12" t="s">
        <v>62</v>
      </c>
      <c r="G127" s="12" t="s">
        <v>2305</v>
      </c>
      <c r="H127" s="12" t="s">
        <v>2304</v>
      </c>
      <c r="I127" s="12" t="s">
        <v>2762</v>
      </c>
      <c r="J127" s="12">
        <v>6</v>
      </c>
      <c r="K127" s="12">
        <v>5</v>
      </c>
      <c r="L127" s="12">
        <v>6</v>
      </c>
      <c r="M127" s="12" t="s">
        <v>2763</v>
      </c>
      <c r="N127" s="12" t="s">
        <v>180</v>
      </c>
      <c r="O127" s="60" t="s">
        <v>2574</v>
      </c>
    </row>
    <row r="128" spans="1:15" ht="28.5" customHeight="1" x14ac:dyDescent="0.2">
      <c r="A128" s="6">
        <v>127</v>
      </c>
      <c r="B128" s="7" t="s">
        <v>2764</v>
      </c>
      <c r="C128" s="7" t="s">
        <v>2765</v>
      </c>
      <c r="D128" s="8" t="s">
        <v>2337</v>
      </c>
      <c r="E128" s="7" t="s">
        <v>43</v>
      </c>
      <c r="F128" s="7" t="s">
        <v>187</v>
      </c>
      <c r="G128" s="7" t="s">
        <v>2305</v>
      </c>
      <c r="H128" s="7" t="s">
        <v>2426</v>
      </c>
      <c r="I128" s="7" t="s">
        <v>2766</v>
      </c>
      <c r="J128" s="7">
        <v>4</v>
      </c>
      <c r="K128" s="7">
        <v>2</v>
      </c>
      <c r="L128" s="7">
        <v>4</v>
      </c>
      <c r="M128" s="7" t="s">
        <v>2767</v>
      </c>
      <c r="N128" s="7" t="s">
        <v>180</v>
      </c>
      <c r="O128" s="59" t="s">
        <v>2574</v>
      </c>
    </row>
    <row r="129" spans="1:15" ht="28.5" customHeight="1" x14ac:dyDescent="0.2">
      <c r="A129" s="11">
        <v>128</v>
      </c>
      <c r="B129" s="12" t="s">
        <v>2768</v>
      </c>
      <c r="C129" s="12" t="s">
        <v>2769</v>
      </c>
      <c r="D129" s="13" t="s">
        <v>2353</v>
      </c>
      <c r="E129" s="12" t="s">
        <v>62</v>
      </c>
      <c r="F129" s="12" t="s">
        <v>2304</v>
      </c>
      <c r="G129" s="12" t="s">
        <v>2305</v>
      </c>
      <c r="H129" s="12" t="s">
        <v>2452</v>
      </c>
      <c r="I129" s="12" t="s">
        <v>2770</v>
      </c>
      <c r="J129" s="12">
        <v>4</v>
      </c>
      <c r="K129" s="12">
        <v>3</v>
      </c>
      <c r="L129" s="12">
        <v>3</v>
      </c>
      <c r="M129" s="12" t="s">
        <v>2771</v>
      </c>
      <c r="N129" s="12" t="s">
        <v>180</v>
      </c>
      <c r="O129" s="60" t="s">
        <v>2574</v>
      </c>
    </row>
    <row r="130" spans="1:15" ht="28.5" customHeight="1" x14ac:dyDescent="0.2">
      <c r="A130" s="6">
        <v>129</v>
      </c>
      <c r="B130" s="7" t="s">
        <v>2772</v>
      </c>
      <c r="C130" s="7" t="s">
        <v>2773</v>
      </c>
      <c r="D130" s="8" t="s">
        <v>2370</v>
      </c>
      <c r="E130" s="7" t="s">
        <v>43</v>
      </c>
      <c r="F130" s="7" t="s">
        <v>2304</v>
      </c>
      <c r="G130" s="7" t="s">
        <v>2305</v>
      </c>
      <c r="H130" s="7" t="s">
        <v>2304</v>
      </c>
      <c r="I130" s="7" t="s">
        <v>2774</v>
      </c>
      <c r="J130" s="7">
        <v>3</v>
      </c>
      <c r="K130" s="7">
        <v>2</v>
      </c>
      <c r="L130" s="7">
        <v>4</v>
      </c>
      <c r="M130" s="7" t="s">
        <v>2775</v>
      </c>
      <c r="N130" s="7" t="s">
        <v>180</v>
      </c>
      <c r="O130" s="59" t="s">
        <v>2574</v>
      </c>
    </row>
    <row r="131" spans="1:15" ht="28.5" customHeight="1" x14ac:dyDescent="0.2">
      <c r="A131" s="11">
        <v>130</v>
      </c>
      <c r="B131" s="12" t="s">
        <v>2776</v>
      </c>
      <c r="C131" s="12" t="s">
        <v>2777</v>
      </c>
      <c r="D131" s="13" t="s">
        <v>2390</v>
      </c>
      <c r="E131" s="12" t="s">
        <v>52</v>
      </c>
      <c r="F131" s="12" t="s">
        <v>2304</v>
      </c>
      <c r="G131" s="12" t="s">
        <v>2305</v>
      </c>
      <c r="H131" s="12" t="s">
        <v>2304</v>
      </c>
      <c r="I131" s="12" t="s">
        <v>2778</v>
      </c>
      <c r="J131" s="12">
        <v>6</v>
      </c>
      <c r="K131" s="12">
        <v>2</v>
      </c>
      <c r="L131" s="12">
        <v>6</v>
      </c>
      <c r="M131" s="12" t="s">
        <v>2779</v>
      </c>
      <c r="N131" s="12" t="s">
        <v>180</v>
      </c>
      <c r="O131" s="60" t="s">
        <v>2574</v>
      </c>
    </row>
    <row r="132" spans="1:15" ht="28.5" customHeight="1" x14ac:dyDescent="0.2">
      <c r="A132" s="6">
        <v>131</v>
      </c>
      <c r="B132" s="7" t="s">
        <v>2780</v>
      </c>
      <c r="C132" s="7" t="s">
        <v>2781</v>
      </c>
      <c r="D132" s="8" t="s">
        <v>2303</v>
      </c>
      <c r="E132" s="7" t="s">
        <v>2315</v>
      </c>
      <c r="F132" s="7" t="s">
        <v>31</v>
      </c>
      <c r="G132" s="7" t="s">
        <v>2305</v>
      </c>
      <c r="H132" s="7" t="s">
        <v>2304</v>
      </c>
      <c r="I132" s="7" t="s">
        <v>2782</v>
      </c>
      <c r="J132" s="7">
        <v>2</v>
      </c>
      <c r="K132" s="7">
        <v>2</v>
      </c>
      <c r="L132" s="7">
        <v>2</v>
      </c>
      <c r="M132" s="7" t="s">
        <v>2783</v>
      </c>
      <c r="N132" s="7" t="s">
        <v>180</v>
      </c>
      <c r="O132" s="59" t="s">
        <v>2600</v>
      </c>
    </row>
    <row r="133" spans="1:15" ht="28.5" customHeight="1" x14ac:dyDescent="0.2">
      <c r="A133" s="11">
        <v>132</v>
      </c>
      <c r="B133" s="12" t="s">
        <v>2784</v>
      </c>
      <c r="C133" s="12" t="s">
        <v>2785</v>
      </c>
      <c r="D133" s="13" t="s">
        <v>2337</v>
      </c>
      <c r="E133" s="12" t="s">
        <v>2525</v>
      </c>
      <c r="F133" s="12" t="s">
        <v>2304</v>
      </c>
      <c r="G133" s="12" t="s">
        <v>2305</v>
      </c>
      <c r="H133" s="12" t="s">
        <v>2304</v>
      </c>
      <c r="I133" s="12" t="s">
        <v>2786</v>
      </c>
      <c r="J133" s="12">
        <v>2</v>
      </c>
      <c r="K133" s="12">
        <v>2</v>
      </c>
      <c r="L133" s="12">
        <v>1</v>
      </c>
      <c r="M133" s="12" t="s">
        <v>2787</v>
      </c>
      <c r="N133" s="12" t="s">
        <v>180</v>
      </c>
      <c r="O133" s="60" t="s">
        <v>2600</v>
      </c>
    </row>
    <row r="134" spans="1:15" ht="28.5" customHeight="1" x14ac:dyDescent="0.2">
      <c r="A134" s="6">
        <v>133</v>
      </c>
      <c r="B134" s="7" t="s">
        <v>2788</v>
      </c>
      <c r="C134" s="7" t="s">
        <v>2789</v>
      </c>
      <c r="D134" s="8" t="s">
        <v>2353</v>
      </c>
      <c r="E134" s="7" t="s">
        <v>684</v>
      </c>
      <c r="F134" s="7" t="s">
        <v>2304</v>
      </c>
      <c r="G134" s="7" t="s">
        <v>2305</v>
      </c>
      <c r="H134" s="7" t="s">
        <v>2304</v>
      </c>
      <c r="I134" s="7" t="s">
        <v>2790</v>
      </c>
      <c r="J134" s="7">
        <v>3</v>
      </c>
      <c r="K134" s="7">
        <v>2</v>
      </c>
      <c r="L134" s="7">
        <v>4</v>
      </c>
      <c r="M134" s="7" t="s">
        <v>2791</v>
      </c>
      <c r="N134" s="7" t="s">
        <v>180</v>
      </c>
      <c r="O134" s="59" t="s">
        <v>2600</v>
      </c>
    </row>
    <row r="135" spans="1:15" ht="28.5" customHeight="1" x14ac:dyDescent="0.2">
      <c r="A135" s="11">
        <v>134</v>
      </c>
      <c r="B135" s="12" t="s">
        <v>2792</v>
      </c>
      <c r="C135" s="12" t="s">
        <v>2793</v>
      </c>
      <c r="D135" s="13" t="s">
        <v>2370</v>
      </c>
      <c r="E135" s="12" t="s">
        <v>2329</v>
      </c>
      <c r="F135" s="12" t="s">
        <v>187</v>
      </c>
      <c r="G135" s="12" t="s">
        <v>2305</v>
      </c>
      <c r="H135" s="12" t="s">
        <v>2304</v>
      </c>
      <c r="I135" s="12" t="s">
        <v>2794</v>
      </c>
      <c r="J135" s="12">
        <v>2</v>
      </c>
      <c r="K135" s="12">
        <v>2</v>
      </c>
      <c r="L135" s="12">
        <v>2</v>
      </c>
      <c r="M135" s="12" t="s">
        <v>2795</v>
      </c>
      <c r="N135" s="12" t="s">
        <v>180</v>
      </c>
      <c r="O135" s="60" t="s">
        <v>2600</v>
      </c>
    </row>
    <row r="136" spans="1:15" ht="28.5" customHeight="1" x14ac:dyDescent="0.2">
      <c r="A136" s="6">
        <v>135</v>
      </c>
      <c r="B136" s="7" t="s">
        <v>465</v>
      </c>
      <c r="C136" s="7" t="s">
        <v>2796</v>
      </c>
      <c r="D136" s="8" t="s">
        <v>2390</v>
      </c>
      <c r="E136" s="7" t="s">
        <v>2315</v>
      </c>
      <c r="F136" s="7" t="s">
        <v>2304</v>
      </c>
      <c r="G136" s="7" t="s">
        <v>2305</v>
      </c>
      <c r="H136" s="7" t="s">
        <v>2400</v>
      </c>
      <c r="I136" s="7" t="s">
        <v>2797</v>
      </c>
      <c r="J136" s="7">
        <v>1</v>
      </c>
      <c r="K136" s="7">
        <v>0</v>
      </c>
      <c r="L136" s="7">
        <v>1</v>
      </c>
      <c r="M136" s="7" t="s">
        <v>2798</v>
      </c>
      <c r="N136" s="7" t="s">
        <v>180</v>
      </c>
      <c r="O136" s="59" t="s">
        <v>2600</v>
      </c>
    </row>
    <row r="137" spans="1:15" ht="28.5" customHeight="1" x14ac:dyDescent="0.2">
      <c r="A137" s="11">
        <v>136</v>
      </c>
      <c r="B137" s="12" t="s">
        <v>2799</v>
      </c>
      <c r="C137" s="12" t="s">
        <v>2800</v>
      </c>
      <c r="D137" s="13" t="s">
        <v>2303</v>
      </c>
      <c r="E137" s="12" t="s">
        <v>2315</v>
      </c>
      <c r="F137" s="12" t="s">
        <v>2304</v>
      </c>
      <c r="G137" s="12" t="s">
        <v>2305</v>
      </c>
      <c r="H137" s="12" t="s">
        <v>2304</v>
      </c>
      <c r="I137" s="12" t="s">
        <v>2801</v>
      </c>
      <c r="J137" s="12">
        <v>1</v>
      </c>
      <c r="K137" s="12">
        <v>2</v>
      </c>
      <c r="L137" s="12">
        <v>2</v>
      </c>
      <c r="M137" s="12" t="s">
        <v>2802</v>
      </c>
      <c r="N137" s="12" t="s">
        <v>268</v>
      </c>
      <c r="O137" s="60" t="s">
        <v>547</v>
      </c>
    </row>
    <row r="138" spans="1:15" ht="28.5" customHeight="1" x14ac:dyDescent="0.2">
      <c r="A138" s="6">
        <v>137</v>
      </c>
      <c r="B138" s="7" t="s">
        <v>2803</v>
      </c>
      <c r="C138" s="7" t="s">
        <v>2804</v>
      </c>
      <c r="D138" s="8" t="s">
        <v>2303</v>
      </c>
      <c r="E138" s="7" t="s">
        <v>158</v>
      </c>
      <c r="F138" s="7" t="s">
        <v>31</v>
      </c>
      <c r="G138" s="7" t="s">
        <v>2305</v>
      </c>
      <c r="H138" s="7" t="s">
        <v>2304</v>
      </c>
      <c r="I138" s="7" t="s">
        <v>2805</v>
      </c>
      <c r="J138" s="7">
        <v>2</v>
      </c>
      <c r="K138" s="7">
        <v>2</v>
      </c>
      <c r="L138" s="7">
        <v>3</v>
      </c>
      <c r="M138" s="7" t="s">
        <v>2806</v>
      </c>
      <c r="N138" s="7" t="s">
        <v>268</v>
      </c>
      <c r="O138" s="59" t="s">
        <v>547</v>
      </c>
    </row>
    <row r="139" spans="1:15" ht="28.5" customHeight="1" x14ac:dyDescent="0.2">
      <c r="A139" s="11">
        <v>138</v>
      </c>
      <c r="B139" s="12" t="s">
        <v>2807</v>
      </c>
      <c r="C139" s="12" t="s">
        <v>2808</v>
      </c>
      <c r="D139" s="13" t="s">
        <v>2303</v>
      </c>
      <c r="E139" s="12" t="s">
        <v>2315</v>
      </c>
      <c r="F139" s="12" t="s">
        <v>2304</v>
      </c>
      <c r="G139" s="12" t="s">
        <v>2305</v>
      </c>
      <c r="H139" s="12" t="s">
        <v>2304</v>
      </c>
      <c r="I139" s="12" t="s">
        <v>2809</v>
      </c>
      <c r="J139" s="12">
        <v>5</v>
      </c>
      <c r="K139" s="12">
        <v>3</v>
      </c>
      <c r="L139" s="12">
        <v>3</v>
      </c>
      <c r="M139" s="12" t="s">
        <v>2810</v>
      </c>
      <c r="N139" s="12" t="s">
        <v>268</v>
      </c>
      <c r="O139" s="60" t="s">
        <v>547</v>
      </c>
    </row>
    <row r="140" spans="1:15" ht="28.5" customHeight="1" x14ac:dyDescent="0.2">
      <c r="A140" s="6">
        <v>139</v>
      </c>
      <c r="B140" s="7" t="s">
        <v>2811</v>
      </c>
      <c r="C140" s="7" t="s">
        <v>2811</v>
      </c>
      <c r="D140" s="8" t="s">
        <v>2303</v>
      </c>
      <c r="E140" s="7" t="s">
        <v>158</v>
      </c>
      <c r="F140" s="7" t="s">
        <v>2304</v>
      </c>
      <c r="G140" s="7" t="s">
        <v>2320</v>
      </c>
      <c r="H140" s="7" t="s">
        <v>2304</v>
      </c>
      <c r="I140" s="7" t="s">
        <v>2812</v>
      </c>
      <c r="J140" s="7">
        <v>8</v>
      </c>
      <c r="K140" s="7"/>
      <c r="L140" s="7"/>
      <c r="M140" s="7" t="s">
        <v>2813</v>
      </c>
      <c r="N140" s="7" t="s">
        <v>268</v>
      </c>
      <c r="O140" s="59" t="s">
        <v>547</v>
      </c>
    </row>
    <row r="141" spans="1:15" ht="28.5" customHeight="1" x14ac:dyDescent="0.2">
      <c r="A141" s="11">
        <v>140</v>
      </c>
      <c r="B141" s="12" t="s">
        <v>120</v>
      </c>
      <c r="C141" s="12" t="s">
        <v>2814</v>
      </c>
      <c r="D141" s="13" t="s">
        <v>2337</v>
      </c>
      <c r="E141" s="12" t="s">
        <v>43</v>
      </c>
      <c r="F141" s="12" t="s">
        <v>2304</v>
      </c>
      <c r="G141" s="12" t="s">
        <v>2305</v>
      </c>
      <c r="H141" s="12" t="s">
        <v>2339</v>
      </c>
      <c r="I141" s="12" t="s">
        <v>2611</v>
      </c>
      <c r="J141" s="12">
        <v>2</v>
      </c>
      <c r="K141" s="12">
        <v>0</v>
      </c>
      <c r="L141" s="12">
        <v>2</v>
      </c>
      <c r="M141" s="12" t="s">
        <v>2815</v>
      </c>
      <c r="N141" s="12" t="s">
        <v>268</v>
      </c>
      <c r="O141" s="60" t="s">
        <v>547</v>
      </c>
    </row>
    <row r="142" spans="1:15" ht="28.5" customHeight="1" x14ac:dyDescent="0.2">
      <c r="A142" s="6">
        <v>141</v>
      </c>
      <c r="B142" s="7" t="s">
        <v>2816</v>
      </c>
      <c r="C142" s="7" t="s">
        <v>2817</v>
      </c>
      <c r="D142" s="8" t="s">
        <v>2337</v>
      </c>
      <c r="E142" s="7" t="s">
        <v>2304</v>
      </c>
      <c r="F142" s="7" t="s">
        <v>2304</v>
      </c>
      <c r="G142" s="7" t="s">
        <v>2320</v>
      </c>
      <c r="H142" s="7" t="s">
        <v>2304</v>
      </c>
      <c r="I142" s="7" t="s">
        <v>2818</v>
      </c>
      <c r="J142" s="7">
        <v>3</v>
      </c>
      <c r="K142" s="7"/>
      <c r="L142" s="7"/>
      <c r="M142" s="7" t="s">
        <v>2819</v>
      </c>
      <c r="N142" s="7" t="s">
        <v>268</v>
      </c>
      <c r="O142" s="59" t="s">
        <v>547</v>
      </c>
    </row>
    <row r="143" spans="1:15" ht="28.5" customHeight="1" x14ac:dyDescent="0.2">
      <c r="A143" s="11">
        <v>142</v>
      </c>
      <c r="B143" s="12" t="s">
        <v>562</v>
      </c>
      <c r="C143" s="12" t="s">
        <v>563</v>
      </c>
      <c r="D143" s="13" t="s">
        <v>2337</v>
      </c>
      <c r="E143" s="12" t="s">
        <v>2438</v>
      </c>
      <c r="F143" s="12" t="s">
        <v>2304</v>
      </c>
      <c r="G143" s="12" t="s">
        <v>2305</v>
      </c>
      <c r="H143" s="12" t="s">
        <v>2304</v>
      </c>
      <c r="I143" s="12" t="s">
        <v>2820</v>
      </c>
      <c r="J143" s="12">
        <v>4</v>
      </c>
      <c r="K143" s="12">
        <v>2</v>
      </c>
      <c r="L143" s="12">
        <v>2</v>
      </c>
      <c r="M143" s="12" t="s">
        <v>2821</v>
      </c>
      <c r="N143" s="12" t="s">
        <v>268</v>
      </c>
      <c r="O143" s="60" t="s">
        <v>547</v>
      </c>
    </row>
    <row r="144" spans="1:15" ht="28.5" customHeight="1" x14ac:dyDescent="0.2">
      <c r="A144" s="6">
        <v>143</v>
      </c>
      <c r="B144" s="7" t="s">
        <v>2822</v>
      </c>
      <c r="C144" s="7" t="s">
        <v>2823</v>
      </c>
      <c r="D144" s="8" t="s">
        <v>2337</v>
      </c>
      <c r="E144" s="7" t="s">
        <v>158</v>
      </c>
      <c r="F144" s="7" t="s">
        <v>2304</v>
      </c>
      <c r="G144" s="7" t="s">
        <v>2305</v>
      </c>
      <c r="H144" s="7" t="s">
        <v>2426</v>
      </c>
      <c r="I144" s="7" t="s">
        <v>2304</v>
      </c>
      <c r="J144" s="7">
        <v>6</v>
      </c>
      <c r="K144" s="7">
        <v>5</v>
      </c>
      <c r="L144" s="7">
        <v>7</v>
      </c>
      <c r="M144" s="7" t="s">
        <v>2824</v>
      </c>
      <c r="N144" s="7" t="s">
        <v>268</v>
      </c>
      <c r="O144" s="59" t="s">
        <v>547</v>
      </c>
    </row>
    <row r="145" spans="1:15" ht="28.5" customHeight="1" x14ac:dyDescent="0.2">
      <c r="A145" s="11">
        <v>144</v>
      </c>
      <c r="B145" s="12" t="s">
        <v>2825</v>
      </c>
      <c r="C145" s="12" t="s">
        <v>2826</v>
      </c>
      <c r="D145" s="13" t="s">
        <v>2353</v>
      </c>
      <c r="E145" s="12" t="s">
        <v>52</v>
      </c>
      <c r="F145" s="12" t="s">
        <v>2304</v>
      </c>
      <c r="G145" s="12" t="s">
        <v>2305</v>
      </c>
      <c r="H145" s="12" t="s">
        <v>2827</v>
      </c>
      <c r="I145" s="12" t="s">
        <v>2304</v>
      </c>
      <c r="J145" s="12">
        <v>2</v>
      </c>
      <c r="K145" s="12">
        <v>2</v>
      </c>
      <c r="L145" s="12">
        <v>2</v>
      </c>
      <c r="M145" s="12" t="s">
        <v>2828</v>
      </c>
      <c r="N145" s="12" t="s">
        <v>268</v>
      </c>
      <c r="O145" s="60" t="s">
        <v>547</v>
      </c>
    </row>
    <row r="146" spans="1:15" ht="28.5" customHeight="1" x14ac:dyDescent="0.2">
      <c r="A146" s="6">
        <v>145</v>
      </c>
      <c r="B146" s="7" t="s">
        <v>487</v>
      </c>
      <c r="C146" s="7" t="s">
        <v>488</v>
      </c>
      <c r="D146" s="8" t="s">
        <v>2353</v>
      </c>
      <c r="E146" s="7" t="s">
        <v>130</v>
      </c>
      <c r="F146" s="7" t="s">
        <v>2399</v>
      </c>
      <c r="G146" s="7" t="s">
        <v>2305</v>
      </c>
      <c r="H146" s="7" t="s">
        <v>2400</v>
      </c>
      <c r="I146" s="7" t="s">
        <v>2829</v>
      </c>
      <c r="J146" s="7">
        <v>4</v>
      </c>
      <c r="K146" s="7">
        <v>4</v>
      </c>
      <c r="L146" s="7">
        <v>3</v>
      </c>
      <c r="M146" s="7" t="s">
        <v>2830</v>
      </c>
      <c r="N146" s="7" t="s">
        <v>268</v>
      </c>
      <c r="O146" s="59" t="s">
        <v>547</v>
      </c>
    </row>
    <row r="147" spans="1:15" ht="28.5" customHeight="1" x14ac:dyDescent="0.2">
      <c r="A147" s="11">
        <v>146</v>
      </c>
      <c r="B147" s="12" t="s">
        <v>2831</v>
      </c>
      <c r="C147" s="12" t="s">
        <v>2832</v>
      </c>
      <c r="D147" s="13" t="s">
        <v>2353</v>
      </c>
      <c r="E147" s="12" t="s">
        <v>52</v>
      </c>
      <c r="F147" s="12" t="s">
        <v>2304</v>
      </c>
      <c r="G147" s="12" t="s">
        <v>2305</v>
      </c>
      <c r="H147" s="12" t="s">
        <v>2339</v>
      </c>
      <c r="I147" s="12" t="s">
        <v>2833</v>
      </c>
      <c r="J147" s="12">
        <v>4</v>
      </c>
      <c r="K147" s="12">
        <v>0</v>
      </c>
      <c r="L147" s="12">
        <v>8</v>
      </c>
      <c r="M147" s="12" t="s">
        <v>2834</v>
      </c>
      <c r="N147" s="12" t="s">
        <v>268</v>
      </c>
      <c r="O147" s="60" t="s">
        <v>547</v>
      </c>
    </row>
    <row r="148" spans="1:15" ht="28.5" customHeight="1" x14ac:dyDescent="0.2">
      <c r="A148" s="6">
        <v>147</v>
      </c>
      <c r="B148" s="7" t="s">
        <v>2835</v>
      </c>
      <c r="C148" s="7" t="s">
        <v>1351</v>
      </c>
      <c r="D148" s="8" t="s">
        <v>2353</v>
      </c>
      <c r="E148" s="7" t="s">
        <v>2329</v>
      </c>
      <c r="F148" s="7" t="s">
        <v>2304</v>
      </c>
      <c r="G148" s="7" t="s">
        <v>2320</v>
      </c>
      <c r="H148" s="7" t="s">
        <v>2304</v>
      </c>
      <c r="I148" s="7" t="s">
        <v>2836</v>
      </c>
      <c r="J148" s="7">
        <v>5</v>
      </c>
      <c r="K148" s="7"/>
      <c r="L148" s="7"/>
      <c r="M148" s="7" t="s">
        <v>2837</v>
      </c>
      <c r="N148" s="7" t="s">
        <v>268</v>
      </c>
      <c r="O148" s="59" t="s">
        <v>547</v>
      </c>
    </row>
    <row r="149" spans="1:15" ht="28.5" customHeight="1" x14ac:dyDescent="0.2">
      <c r="A149" s="11">
        <v>148</v>
      </c>
      <c r="B149" s="12" t="s">
        <v>2838</v>
      </c>
      <c r="C149" s="12" t="s">
        <v>2839</v>
      </c>
      <c r="D149" s="13" t="s">
        <v>2370</v>
      </c>
      <c r="E149" s="12" t="s">
        <v>2329</v>
      </c>
      <c r="F149" s="12" t="s">
        <v>2304</v>
      </c>
      <c r="G149" s="12" t="s">
        <v>2305</v>
      </c>
      <c r="H149" s="12" t="s">
        <v>2304</v>
      </c>
      <c r="I149" s="12" t="s">
        <v>2840</v>
      </c>
      <c r="J149" s="12">
        <v>3</v>
      </c>
      <c r="K149" s="12">
        <v>2</v>
      </c>
      <c r="L149" s="12">
        <v>2</v>
      </c>
      <c r="M149" s="12" t="s">
        <v>2841</v>
      </c>
      <c r="N149" s="12" t="s">
        <v>268</v>
      </c>
      <c r="O149" s="60" t="s">
        <v>547</v>
      </c>
    </row>
    <row r="150" spans="1:15" ht="28.5" customHeight="1" x14ac:dyDescent="0.2">
      <c r="A150" s="6">
        <v>149</v>
      </c>
      <c r="B150" s="7" t="s">
        <v>2842</v>
      </c>
      <c r="C150" s="7" t="s">
        <v>2843</v>
      </c>
      <c r="D150" s="8" t="s">
        <v>2370</v>
      </c>
      <c r="E150" s="7" t="s">
        <v>187</v>
      </c>
      <c r="F150" s="7" t="s">
        <v>2304</v>
      </c>
      <c r="G150" s="7" t="s">
        <v>2305</v>
      </c>
      <c r="H150" s="7" t="s">
        <v>2304</v>
      </c>
      <c r="I150" s="7" t="s">
        <v>2844</v>
      </c>
      <c r="J150" s="7">
        <v>4</v>
      </c>
      <c r="K150" s="7">
        <v>4</v>
      </c>
      <c r="L150" s="7">
        <v>3</v>
      </c>
      <c r="M150" s="7" t="s">
        <v>2845</v>
      </c>
      <c r="N150" s="7" t="s">
        <v>268</v>
      </c>
      <c r="O150" s="59" t="s">
        <v>547</v>
      </c>
    </row>
    <row r="151" spans="1:15" ht="28.5" customHeight="1" x14ac:dyDescent="0.2">
      <c r="A151" s="11">
        <v>150</v>
      </c>
      <c r="B151" s="12" t="s">
        <v>184</v>
      </c>
      <c r="C151" s="12" t="s">
        <v>2846</v>
      </c>
      <c r="D151" s="13" t="s">
        <v>2370</v>
      </c>
      <c r="E151" s="12" t="s">
        <v>187</v>
      </c>
      <c r="F151" s="12" t="s">
        <v>2304</v>
      </c>
      <c r="G151" s="12" t="s">
        <v>2320</v>
      </c>
      <c r="H151" s="12" t="s">
        <v>2304</v>
      </c>
      <c r="I151" s="12" t="s">
        <v>2847</v>
      </c>
      <c r="J151" s="12">
        <v>6</v>
      </c>
      <c r="K151" s="12"/>
      <c r="L151" s="12"/>
      <c r="M151" s="12" t="s">
        <v>2848</v>
      </c>
      <c r="N151" s="12" t="s">
        <v>268</v>
      </c>
      <c r="O151" s="60" t="s">
        <v>547</v>
      </c>
    </row>
    <row r="152" spans="1:15" ht="28.5" customHeight="1" x14ac:dyDescent="0.2">
      <c r="A152" s="6">
        <v>151</v>
      </c>
      <c r="B152" s="7" t="s">
        <v>2849</v>
      </c>
      <c r="C152" s="7" t="s">
        <v>2850</v>
      </c>
      <c r="D152" s="8" t="s">
        <v>2370</v>
      </c>
      <c r="E152" s="7" t="s">
        <v>187</v>
      </c>
      <c r="F152" s="7" t="s">
        <v>2304</v>
      </c>
      <c r="G152" s="7" t="s">
        <v>2305</v>
      </c>
      <c r="H152" s="7" t="s">
        <v>2304</v>
      </c>
      <c r="I152" s="7" t="s">
        <v>2851</v>
      </c>
      <c r="J152" s="7">
        <v>7</v>
      </c>
      <c r="K152" s="7">
        <v>6</v>
      </c>
      <c r="L152" s="7">
        <v>6</v>
      </c>
      <c r="M152" s="7" t="s">
        <v>2852</v>
      </c>
      <c r="N152" s="7" t="s">
        <v>268</v>
      </c>
      <c r="O152" s="59" t="s">
        <v>547</v>
      </c>
    </row>
    <row r="153" spans="1:15" ht="28.5" customHeight="1" x14ac:dyDescent="0.2">
      <c r="A153" s="11">
        <v>152</v>
      </c>
      <c r="B153" s="12" t="s">
        <v>2853</v>
      </c>
      <c r="C153" s="12" t="s">
        <v>2854</v>
      </c>
      <c r="D153" s="13" t="s">
        <v>2390</v>
      </c>
      <c r="E153" s="12" t="s">
        <v>158</v>
      </c>
      <c r="F153" s="12" t="s">
        <v>2304</v>
      </c>
      <c r="G153" s="12" t="s">
        <v>2320</v>
      </c>
      <c r="H153" s="12" t="s">
        <v>2304</v>
      </c>
      <c r="I153" s="12" t="s">
        <v>2855</v>
      </c>
      <c r="J153" s="12">
        <v>2</v>
      </c>
      <c r="K153" s="12"/>
      <c r="L153" s="12"/>
      <c r="M153" s="12" t="s">
        <v>2856</v>
      </c>
      <c r="N153" s="12" t="s">
        <v>268</v>
      </c>
      <c r="O153" s="60" t="s">
        <v>547</v>
      </c>
    </row>
    <row r="154" spans="1:15" ht="28.5" customHeight="1" x14ac:dyDescent="0.2">
      <c r="A154" s="6">
        <v>153</v>
      </c>
      <c r="B154" s="7" t="s">
        <v>2857</v>
      </c>
      <c r="C154" s="7" t="s">
        <v>2858</v>
      </c>
      <c r="D154" s="8" t="s">
        <v>2390</v>
      </c>
      <c r="E154" s="7" t="s">
        <v>158</v>
      </c>
      <c r="F154" s="7" t="s">
        <v>2304</v>
      </c>
      <c r="G154" s="7" t="s">
        <v>2305</v>
      </c>
      <c r="H154" s="7" t="s">
        <v>2304</v>
      </c>
      <c r="I154" s="7" t="s">
        <v>2859</v>
      </c>
      <c r="J154" s="7">
        <v>4</v>
      </c>
      <c r="K154" s="7">
        <v>2</v>
      </c>
      <c r="L154" s="7">
        <v>2</v>
      </c>
      <c r="M154" s="7" t="s">
        <v>2860</v>
      </c>
      <c r="N154" s="7" t="s">
        <v>268</v>
      </c>
      <c r="O154" s="59" t="s">
        <v>547</v>
      </c>
    </row>
    <row r="155" spans="1:15" ht="28.5" customHeight="1" x14ac:dyDescent="0.2">
      <c r="A155" s="11">
        <v>154</v>
      </c>
      <c r="B155" s="12" t="s">
        <v>133</v>
      </c>
      <c r="C155" s="12" t="s">
        <v>134</v>
      </c>
      <c r="D155" s="13" t="s">
        <v>2390</v>
      </c>
      <c r="E155" s="12" t="s">
        <v>2861</v>
      </c>
      <c r="F155" s="12" t="s">
        <v>43</v>
      </c>
      <c r="G155" s="12" t="s">
        <v>2305</v>
      </c>
      <c r="H155" s="12" t="s">
        <v>2758</v>
      </c>
      <c r="I155" s="12" t="s">
        <v>2304</v>
      </c>
      <c r="J155" s="12">
        <v>4</v>
      </c>
      <c r="K155" s="12">
        <v>3</v>
      </c>
      <c r="L155" s="12">
        <v>3</v>
      </c>
      <c r="M155" s="12" t="s">
        <v>2862</v>
      </c>
      <c r="N155" s="12" t="s">
        <v>268</v>
      </c>
      <c r="O155" s="60" t="s">
        <v>547</v>
      </c>
    </row>
    <row r="156" spans="1:15" ht="28.5" customHeight="1" x14ac:dyDescent="0.2">
      <c r="A156" s="6">
        <v>155</v>
      </c>
      <c r="B156" s="7" t="s">
        <v>2863</v>
      </c>
      <c r="C156" s="7" t="s">
        <v>2864</v>
      </c>
      <c r="D156" s="8" t="s">
        <v>2390</v>
      </c>
      <c r="E156" s="7" t="s">
        <v>684</v>
      </c>
      <c r="F156" s="7" t="s">
        <v>2304</v>
      </c>
      <c r="G156" s="7" t="s">
        <v>2305</v>
      </c>
      <c r="H156" s="7" t="s">
        <v>2304</v>
      </c>
      <c r="I156" s="7" t="s">
        <v>2865</v>
      </c>
      <c r="J156" s="7">
        <v>4</v>
      </c>
      <c r="K156" s="7">
        <v>2</v>
      </c>
      <c r="L156" s="7">
        <v>6</v>
      </c>
      <c r="M156" s="7" t="s">
        <v>2866</v>
      </c>
      <c r="N156" s="7" t="s">
        <v>268</v>
      </c>
      <c r="O156" s="59" t="s">
        <v>547</v>
      </c>
    </row>
    <row r="157" spans="1:15" ht="28.5" customHeight="1" x14ac:dyDescent="0.2">
      <c r="A157" s="11">
        <v>156</v>
      </c>
      <c r="B157" s="12" t="s">
        <v>2867</v>
      </c>
      <c r="C157" s="12" t="s">
        <v>2868</v>
      </c>
      <c r="D157" s="13" t="s">
        <v>2303</v>
      </c>
      <c r="E157" s="12" t="s">
        <v>158</v>
      </c>
      <c r="F157" s="12" t="s">
        <v>2304</v>
      </c>
      <c r="G157" s="12" t="s">
        <v>2305</v>
      </c>
      <c r="H157" s="12" t="s">
        <v>2304</v>
      </c>
      <c r="I157" s="12" t="s">
        <v>2869</v>
      </c>
      <c r="J157" s="12">
        <v>3</v>
      </c>
      <c r="K157" s="12">
        <v>2</v>
      </c>
      <c r="L157" s="12">
        <v>5</v>
      </c>
      <c r="M157" s="12" t="s">
        <v>2870</v>
      </c>
      <c r="N157" s="12" t="s">
        <v>268</v>
      </c>
      <c r="O157" s="60" t="s">
        <v>2516</v>
      </c>
    </row>
    <row r="158" spans="1:15" ht="28.5" customHeight="1" x14ac:dyDescent="0.2">
      <c r="A158" s="6">
        <v>157</v>
      </c>
      <c r="B158" s="7" t="s">
        <v>2871</v>
      </c>
      <c r="C158" s="7" t="s">
        <v>2872</v>
      </c>
      <c r="D158" s="8" t="s">
        <v>2303</v>
      </c>
      <c r="E158" s="7" t="s">
        <v>62</v>
      </c>
      <c r="F158" s="7" t="s">
        <v>2304</v>
      </c>
      <c r="G158" s="7" t="s">
        <v>2520</v>
      </c>
      <c r="H158" s="7" t="s">
        <v>2304</v>
      </c>
      <c r="I158" s="7" t="s">
        <v>2873</v>
      </c>
      <c r="J158" s="7">
        <v>5</v>
      </c>
      <c r="K158" s="7"/>
      <c r="L158" s="7"/>
      <c r="M158" s="7" t="s">
        <v>2874</v>
      </c>
      <c r="N158" s="7" t="s">
        <v>268</v>
      </c>
      <c r="O158" s="59" t="s">
        <v>2516</v>
      </c>
    </row>
    <row r="159" spans="1:15" ht="28.5" customHeight="1" x14ac:dyDescent="0.2">
      <c r="A159" s="11">
        <v>158</v>
      </c>
      <c r="B159" s="12" t="s">
        <v>2875</v>
      </c>
      <c r="C159" s="12" t="s">
        <v>2876</v>
      </c>
      <c r="D159" s="13" t="s">
        <v>2303</v>
      </c>
      <c r="E159" s="12" t="s">
        <v>31</v>
      </c>
      <c r="F159" s="12" t="s">
        <v>2304</v>
      </c>
      <c r="G159" s="12" t="s">
        <v>2305</v>
      </c>
      <c r="H159" s="12" t="s">
        <v>2304</v>
      </c>
      <c r="I159" s="12" t="s">
        <v>2877</v>
      </c>
      <c r="J159" s="12">
        <v>5</v>
      </c>
      <c r="K159" s="12">
        <v>3</v>
      </c>
      <c r="L159" s="12">
        <v>4</v>
      </c>
      <c r="M159" s="12" t="s">
        <v>2878</v>
      </c>
      <c r="N159" s="12" t="s">
        <v>268</v>
      </c>
      <c r="O159" s="60" t="s">
        <v>2516</v>
      </c>
    </row>
    <row r="160" spans="1:15" ht="28.5" customHeight="1" x14ac:dyDescent="0.2">
      <c r="A160" s="6">
        <v>159</v>
      </c>
      <c r="B160" s="7" t="s">
        <v>2879</v>
      </c>
      <c r="C160" s="7" t="s">
        <v>2880</v>
      </c>
      <c r="D160" s="8" t="s">
        <v>2337</v>
      </c>
      <c r="E160" s="7" t="s">
        <v>2304</v>
      </c>
      <c r="F160" s="7" t="s">
        <v>2304</v>
      </c>
      <c r="G160" s="7" t="s">
        <v>2520</v>
      </c>
      <c r="H160" s="7" t="s">
        <v>2304</v>
      </c>
      <c r="I160" s="7" t="s">
        <v>2881</v>
      </c>
      <c r="J160" s="7">
        <v>3</v>
      </c>
      <c r="K160" s="7"/>
      <c r="L160" s="7"/>
      <c r="M160" s="7" t="s">
        <v>2882</v>
      </c>
      <c r="N160" s="7" t="s">
        <v>268</v>
      </c>
      <c r="O160" s="59" t="s">
        <v>2516</v>
      </c>
    </row>
    <row r="161" spans="1:15" ht="28.5" customHeight="1" x14ac:dyDescent="0.2">
      <c r="A161" s="11">
        <v>160</v>
      </c>
      <c r="B161" s="12" t="s">
        <v>2883</v>
      </c>
      <c r="C161" s="12" t="s">
        <v>2884</v>
      </c>
      <c r="D161" s="13" t="s">
        <v>2337</v>
      </c>
      <c r="E161" s="12" t="s">
        <v>31</v>
      </c>
      <c r="F161" s="12" t="s">
        <v>52</v>
      </c>
      <c r="G161" s="12" t="s">
        <v>2305</v>
      </c>
      <c r="H161" s="12" t="s">
        <v>2304</v>
      </c>
      <c r="I161" s="12" t="s">
        <v>2885</v>
      </c>
      <c r="J161" s="12">
        <v>4</v>
      </c>
      <c r="K161" s="12">
        <v>3</v>
      </c>
      <c r="L161" s="12">
        <v>7</v>
      </c>
      <c r="M161" s="12" t="s">
        <v>2886</v>
      </c>
      <c r="N161" s="12" t="s">
        <v>268</v>
      </c>
      <c r="O161" s="60" t="s">
        <v>2516</v>
      </c>
    </row>
    <row r="162" spans="1:15" ht="28.5" customHeight="1" x14ac:dyDescent="0.2">
      <c r="A162" s="6">
        <v>161</v>
      </c>
      <c r="B162" s="7" t="s">
        <v>2887</v>
      </c>
      <c r="C162" s="7" t="s">
        <v>2888</v>
      </c>
      <c r="D162" s="8" t="s">
        <v>2337</v>
      </c>
      <c r="E162" s="7" t="s">
        <v>130</v>
      </c>
      <c r="F162" s="7" t="s">
        <v>2304</v>
      </c>
      <c r="G162" s="7" t="s">
        <v>2320</v>
      </c>
      <c r="H162" s="7" t="s">
        <v>2304</v>
      </c>
      <c r="I162" s="7" t="s">
        <v>2889</v>
      </c>
      <c r="J162" s="7">
        <v>6</v>
      </c>
      <c r="K162" s="7"/>
      <c r="L162" s="7"/>
      <c r="M162" s="7" t="s">
        <v>2890</v>
      </c>
      <c r="N162" s="7" t="s">
        <v>268</v>
      </c>
      <c r="O162" s="59" t="s">
        <v>2516</v>
      </c>
    </row>
    <row r="163" spans="1:15" ht="28.5" customHeight="1" x14ac:dyDescent="0.2">
      <c r="A163" s="11">
        <v>162</v>
      </c>
      <c r="B163" s="12" t="s">
        <v>2891</v>
      </c>
      <c r="C163" s="12" t="s">
        <v>2892</v>
      </c>
      <c r="D163" s="13" t="s">
        <v>2353</v>
      </c>
      <c r="E163" s="12" t="s">
        <v>531</v>
      </c>
      <c r="F163" s="12" t="s">
        <v>43</v>
      </c>
      <c r="G163" s="12" t="s">
        <v>2305</v>
      </c>
      <c r="H163" s="12" t="s">
        <v>2452</v>
      </c>
      <c r="I163" s="12" t="s">
        <v>2893</v>
      </c>
      <c r="J163" s="12">
        <v>1</v>
      </c>
      <c r="K163" s="12">
        <v>2</v>
      </c>
      <c r="L163" s="12">
        <v>2</v>
      </c>
      <c r="M163" s="12" t="s">
        <v>2894</v>
      </c>
      <c r="N163" s="12" t="s">
        <v>268</v>
      </c>
      <c r="O163" s="60" t="s">
        <v>2516</v>
      </c>
    </row>
    <row r="164" spans="1:15" ht="28.5" customHeight="1" x14ac:dyDescent="0.2">
      <c r="A164" s="6">
        <v>163</v>
      </c>
      <c r="B164" s="7" t="s">
        <v>2895</v>
      </c>
      <c r="C164" s="7" t="s">
        <v>2896</v>
      </c>
      <c r="D164" s="8" t="s">
        <v>2353</v>
      </c>
      <c r="E164" s="7" t="s">
        <v>2304</v>
      </c>
      <c r="F164" s="7" t="s">
        <v>2304</v>
      </c>
      <c r="G164" s="7" t="s">
        <v>2520</v>
      </c>
      <c r="H164" s="7" t="s">
        <v>2304</v>
      </c>
      <c r="I164" s="7" t="s">
        <v>2897</v>
      </c>
      <c r="J164" s="7">
        <v>4</v>
      </c>
      <c r="K164" s="7"/>
      <c r="L164" s="7"/>
      <c r="M164" s="7" t="s">
        <v>2898</v>
      </c>
      <c r="N164" s="7" t="s">
        <v>268</v>
      </c>
      <c r="O164" s="59" t="s">
        <v>2516</v>
      </c>
    </row>
    <row r="165" spans="1:15" ht="28.5" customHeight="1" x14ac:dyDescent="0.2">
      <c r="A165" s="11">
        <v>164</v>
      </c>
      <c r="B165" s="12" t="s">
        <v>2899</v>
      </c>
      <c r="C165" s="12" t="s">
        <v>2900</v>
      </c>
      <c r="D165" s="13" t="s">
        <v>2353</v>
      </c>
      <c r="E165" s="12" t="s">
        <v>130</v>
      </c>
      <c r="F165" s="12" t="s">
        <v>2309</v>
      </c>
      <c r="G165" s="12" t="s">
        <v>2305</v>
      </c>
      <c r="H165" s="12" t="s">
        <v>2682</v>
      </c>
      <c r="I165" s="12" t="s">
        <v>2901</v>
      </c>
      <c r="J165" s="12">
        <v>6</v>
      </c>
      <c r="K165" s="12">
        <v>7</v>
      </c>
      <c r="L165" s="12">
        <v>7</v>
      </c>
      <c r="M165" s="12" t="s">
        <v>2902</v>
      </c>
      <c r="N165" s="12" t="s">
        <v>268</v>
      </c>
      <c r="O165" s="60" t="s">
        <v>2516</v>
      </c>
    </row>
    <row r="166" spans="1:15" ht="28.5" customHeight="1" x14ac:dyDescent="0.2">
      <c r="A166" s="6">
        <v>165</v>
      </c>
      <c r="B166" s="7" t="s">
        <v>2903</v>
      </c>
      <c r="C166" s="7" t="s">
        <v>2904</v>
      </c>
      <c r="D166" s="8" t="s">
        <v>2370</v>
      </c>
      <c r="E166" s="7" t="s">
        <v>2329</v>
      </c>
      <c r="F166" s="7" t="s">
        <v>2304</v>
      </c>
      <c r="G166" s="7" t="s">
        <v>2305</v>
      </c>
      <c r="H166" s="7" t="s">
        <v>2452</v>
      </c>
      <c r="I166" s="7" t="s">
        <v>2905</v>
      </c>
      <c r="J166" s="7">
        <v>1</v>
      </c>
      <c r="K166" s="7">
        <v>1</v>
      </c>
      <c r="L166" s="7">
        <v>1</v>
      </c>
      <c r="M166" s="7" t="s">
        <v>2906</v>
      </c>
      <c r="N166" s="7" t="s">
        <v>268</v>
      </c>
      <c r="O166" s="59" t="s">
        <v>2516</v>
      </c>
    </row>
    <row r="167" spans="1:15" ht="28.5" customHeight="1" x14ac:dyDescent="0.2">
      <c r="A167" s="11">
        <v>166</v>
      </c>
      <c r="B167" s="12" t="s">
        <v>495</v>
      </c>
      <c r="C167" s="12" t="s">
        <v>496</v>
      </c>
      <c r="D167" s="13" t="s">
        <v>2370</v>
      </c>
      <c r="E167" s="12" t="s">
        <v>2549</v>
      </c>
      <c r="F167" s="12" t="s">
        <v>2304</v>
      </c>
      <c r="G167" s="12" t="s">
        <v>2305</v>
      </c>
      <c r="H167" s="12" t="s">
        <v>2304</v>
      </c>
      <c r="I167" s="12" t="s">
        <v>2907</v>
      </c>
      <c r="J167" s="12">
        <v>2</v>
      </c>
      <c r="K167" s="12">
        <v>0</v>
      </c>
      <c r="L167" s="12">
        <v>3</v>
      </c>
      <c r="M167" s="12" t="s">
        <v>2908</v>
      </c>
      <c r="N167" s="12" t="s">
        <v>268</v>
      </c>
      <c r="O167" s="60" t="s">
        <v>2516</v>
      </c>
    </row>
    <row r="168" spans="1:15" ht="28.5" customHeight="1" x14ac:dyDescent="0.2">
      <c r="A168" s="6">
        <v>167</v>
      </c>
      <c r="B168" s="7" t="s">
        <v>2909</v>
      </c>
      <c r="C168" s="7" t="s">
        <v>2910</v>
      </c>
      <c r="D168" s="8" t="s">
        <v>2370</v>
      </c>
      <c r="E168" s="7" t="s">
        <v>130</v>
      </c>
      <c r="F168" s="7" t="s">
        <v>2304</v>
      </c>
      <c r="G168" s="7" t="s">
        <v>2520</v>
      </c>
      <c r="H168" s="7" t="s">
        <v>2304</v>
      </c>
      <c r="I168" s="7" t="s">
        <v>2911</v>
      </c>
      <c r="J168" s="7">
        <v>4</v>
      </c>
      <c r="K168" s="7"/>
      <c r="L168" s="7"/>
      <c r="M168" s="7" t="s">
        <v>2912</v>
      </c>
      <c r="N168" s="7" t="s">
        <v>268</v>
      </c>
      <c r="O168" s="59" t="s">
        <v>2516</v>
      </c>
    </row>
    <row r="169" spans="1:15" ht="28.5" customHeight="1" x14ac:dyDescent="0.2">
      <c r="A169" s="11">
        <v>168</v>
      </c>
      <c r="B169" s="12" t="s">
        <v>2913</v>
      </c>
      <c r="C169" s="12" t="s">
        <v>2914</v>
      </c>
      <c r="D169" s="13" t="s">
        <v>2390</v>
      </c>
      <c r="E169" s="12" t="s">
        <v>2399</v>
      </c>
      <c r="F169" s="12" t="s">
        <v>2304</v>
      </c>
      <c r="G169" s="12" t="s">
        <v>2305</v>
      </c>
      <c r="H169" s="12" t="s">
        <v>2460</v>
      </c>
      <c r="I169" s="12" t="s">
        <v>2915</v>
      </c>
      <c r="J169" s="12">
        <v>2</v>
      </c>
      <c r="K169" s="12">
        <v>2</v>
      </c>
      <c r="L169" s="12">
        <v>1</v>
      </c>
      <c r="M169" s="12" t="s">
        <v>2916</v>
      </c>
      <c r="N169" s="12" t="s">
        <v>268</v>
      </c>
      <c r="O169" s="60" t="s">
        <v>2516</v>
      </c>
    </row>
    <row r="170" spans="1:15" ht="28.5" customHeight="1" x14ac:dyDescent="0.2">
      <c r="A170" s="6">
        <v>169</v>
      </c>
      <c r="B170" s="7" t="s">
        <v>2917</v>
      </c>
      <c r="C170" s="7" t="s">
        <v>2918</v>
      </c>
      <c r="D170" s="8" t="s">
        <v>2390</v>
      </c>
      <c r="E170" s="7" t="s">
        <v>158</v>
      </c>
      <c r="F170" s="7" t="s">
        <v>2304</v>
      </c>
      <c r="G170" s="7" t="s">
        <v>2305</v>
      </c>
      <c r="H170" s="7" t="s">
        <v>2304</v>
      </c>
      <c r="I170" s="7" t="s">
        <v>2919</v>
      </c>
      <c r="J170" s="7">
        <v>3</v>
      </c>
      <c r="K170" s="7">
        <v>3</v>
      </c>
      <c r="L170" s="7">
        <v>3</v>
      </c>
      <c r="M170" s="7" t="s">
        <v>2920</v>
      </c>
      <c r="N170" s="7" t="s">
        <v>268</v>
      </c>
      <c r="O170" s="59" t="s">
        <v>2516</v>
      </c>
    </row>
    <row r="171" spans="1:15" ht="28.5" customHeight="1" x14ac:dyDescent="0.2">
      <c r="A171" s="11">
        <v>170</v>
      </c>
      <c r="B171" s="12" t="s">
        <v>2921</v>
      </c>
      <c r="C171" s="12" t="s">
        <v>2922</v>
      </c>
      <c r="D171" s="13" t="s">
        <v>2390</v>
      </c>
      <c r="E171" s="12" t="s">
        <v>2304</v>
      </c>
      <c r="F171" s="12" t="s">
        <v>2304</v>
      </c>
      <c r="G171" s="12" t="s">
        <v>2520</v>
      </c>
      <c r="H171" s="12" t="s">
        <v>2304</v>
      </c>
      <c r="I171" s="12" t="s">
        <v>2923</v>
      </c>
      <c r="J171" s="12">
        <v>2</v>
      </c>
      <c r="K171" s="12"/>
      <c r="L171" s="12"/>
      <c r="M171" s="12" t="s">
        <v>2924</v>
      </c>
      <c r="N171" s="12" t="s">
        <v>268</v>
      </c>
      <c r="O171" s="60" t="s">
        <v>2516</v>
      </c>
    </row>
    <row r="172" spans="1:15" ht="28.5" customHeight="1" x14ac:dyDescent="0.2">
      <c r="A172" s="6">
        <v>171</v>
      </c>
      <c r="B172" s="7" t="s">
        <v>191</v>
      </c>
      <c r="C172" s="7" t="s">
        <v>2925</v>
      </c>
      <c r="D172" s="8" t="s">
        <v>2303</v>
      </c>
      <c r="E172" s="7" t="s">
        <v>31</v>
      </c>
      <c r="F172" s="7" t="s">
        <v>2304</v>
      </c>
      <c r="G172" s="7" t="s">
        <v>2305</v>
      </c>
      <c r="H172" s="7" t="s">
        <v>2304</v>
      </c>
      <c r="I172" s="7" t="s">
        <v>2926</v>
      </c>
      <c r="J172" s="7">
        <v>2</v>
      </c>
      <c r="K172" s="7">
        <v>4</v>
      </c>
      <c r="L172" s="7">
        <v>1</v>
      </c>
      <c r="M172" s="7" t="s">
        <v>2927</v>
      </c>
      <c r="N172" s="7" t="s">
        <v>268</v>
      </c>
      <c r="O172" s="59" t="s">
        <v>2574</v>
      </c>
    </row>
    <row r="173" spans="1:15" ht="28.5" customHeight="1" x14ac:dyDescent="0.2">
      <c r="A173" s="11">
        <v>172</v>
      </c>
      <c r="B173" s="12" t="s">
        <v>2928</v>
      </c>
      <c r="C173" s="12" t="s">
        <v>2929</v>
      </c>
      <c r="D173" s="13" t="s">
        <v>2303</v>
      </c>
      <c r="E173" s="12" t="s">
        <v>187</v>
      </c>
      <c r="F173" s="12" t="s">
        <v>2304</v>
      </c>
      <c r="G173" s="12" t="s">
        <v>2320</v>
      </c>
      <c r="H173" s="12" t="s">
        <v>2304</v>
      </c>
      <c r="I173" s="12" t="s">
        <v>2930</v>
      </c>
      <c r="J173" s="12">
        <v>3</v>
      </c>
      <c r="K173" s="12"/>
      <c r="L173" s="12"/>
      <c r="M173" s="12" t="s">
        <v>2931</v>
      </c>
      <c r="N173" s="12" t="s">
        <v>268</v>
      </c>
      <c r="O173" s="60" t="s">
        <v>2574</v>
      </c>
    </row>
    <row r="174" spans="1:15" ht="28.5" customHeight="1" x14ac:dyDescent="0.2">
      <c r="A174" s="6">
        <v>173</v>
      </c>
      <c r="B174" s="7" t="s">
        <v>452</v>
      </c>
      <c r="C174" s="7" t="s">
        <v>453</v>
      </c>
      <c r="D174" s="8" t="s">
        <v>2337</v>
      </c>
      <c r="E174" s="7" t="s">
        <v>43</v>
      </c>
      <c r="F174" s="7" t="s">
        <v>2304</v>
      </c>
      <c r="G174" s="7" t="s">
        <v>2305</v>
      </c>
      <c r="H174" s="7" t="s">
        <v>2304</v>
      </c>
      <c r="I174" s="7" t="s">
        <v>2932</v>
      </c>
      <c r="J174" s="7">
        <v>1</v>
      </c>
      <c r="K174" s="7">
        <v>2</v>
      </c>
      <c r="L174" s="7">
        <v>1</v>
      </c>
      <c r="M174" s="7" t="s">
        <v>2933</v>
      </c>
      <c r="N174" s="7" t="s">
        <v>268</v>
      </c>
      <c r="O174" s="59" t="s">
        <v>2574</v>
      </c>
    </row>
    <row r="175" spans="1:15" ht="28.5" customHeight="1" x14ac:dyDescent="0.2">
      <c r="A175" s="11">
        <v>174</v>
      </c>
      <c r="B175" s="12" t="s">
        <v>2934</v>
      </c>
      <c r="C175" s="12" t="s">
        <v>2935</v>
      </c>
      <c r="D175" s="13" t="s">
        <v>2337</v>
      </c>
      <c r="E175" s="12" t="s">
        <v>43</v>
      </c>
      <c r="F175" s="12" t="s">
        <v>2382</v>
      </c>
      <c r="G175" s="12" t="s">
        <v>2305</v>
      </c>
      <c r="H175" s="12" t="s">
        <v>2304</v>
      </c>
      <c r="I175" s="12" t="s">
        <v>2936</v>
      </c>
      <c r="J175" s="12">
        <v>3</v>
      </c>
      <c r="K175" s="12">
        <v>2</v>
      </c>
      <c r="L175" s="12">
        <v>2</v>
      </c>
      <c r="M175" s="12" t="s">
        <v>2937</v>
      </c>
      <c r="N175" s="12" t="s">
        <v>268</v>
      </c>
      <c r="O175" s="60" t="s">
        <v>2574</v>
      </c>
    </row>
    <row r="176" spans="1:15" ht="28.5" customHeight="1" x14ac:dyDescent="0.2">
      <c r="A176" s="6">
        <v>175</v>
      </c>
      <c r="B176" s="7" t="s">
        <v>2938</v>
      </c>
      <c r="C176" s="7" t="s">
        <v>2939</v>
      </c>
      <c r="D176" s="8" t="s">
        <v>2353</v>
      </c>
      <c r="E176" s="7" t="s">
        <v>31</v>
      </c>
      <c r="F176" s="7" t="s">
        <v>52</v>
      </c>
      <c r="G176" s="7" t="s">
        <v>2305</v>
      </c>
      <c r="H176" s="7" t="s">
        <v>2304</v>
      </c>
      <c r="I176" s="7" t="s">
        <v>2940</v>
      </c>
      <c r="J176" s="7">
        <v>3</v>
      </c>
      <c r="K176" s="7">
        <v>3</v>
      </c>
      <c r="L176" s="7">
        <v>2</v>
      </c>
      <c r="M176" s="7" t="s">
        <v>2941</v>
      </c>
      <c r="N176" s="7" t="s">
        <v>268</v>
      </c>
      <c r="O176" s="59" t="s">
        <v>2574</v>
      </c>
    </row>
    <row r="177" spans="1:15" ht="28.5" customHeight="1" x14ac:dyDescent="0.2">
      <c r="A177" s="11">
        <v>176</v>
      </c>
      <c r="B177" s="12" t="s">
        <v>2942</v>
      </c>
      <c r="C177" s="12" t="s">
        <v>2943</v>
      </c>
      <c r="D177" s="13" t="s">
        <v>2370</v>
      </c>
      <c r="E177" s="12" t="s">
        <v>43</v>
      </c>
      <c r="F177" s="12" t="s">
        <v>62</v>
      </c>
      <c r="G177" s="12" t="s">
        <v>2305</v>
      </c>
      <c r="H177" s="12" t="s">
        <v>2304</v>
      </c>
      <c r="I177" s="12" t="s">
        <v>2944</v>
      </c>
      <c r="J177" s="12">
        <v>2</v>
      </c>
      <c r="K177" s="12">
        <v>3</v>
      </c>
      <c r="L177" s="12">
        <v>2</v>
      </c>
      <c r="M177" s="12" t="s">
        <v>2945</v>
      </c>
      <c r="N177" s="12" t="s">
        <v>268</v>
      </c>
      <c r="O177" s="60" t="s">
        <v>2574</v>
      </c>
    </row>
    <row r="178" spans="1:15" ht="28.5" customHeight="1" x14ac:dyDescent="0.2">
      <c r="A178" s="6">
        <v>177</v>
      </c>
      <c r="B178" s="7" t="s">
        <v>556</v>
      </c>
      <c r="C178" s="7" t="s">
        <v>557</v>
      </c>
      <c r="D178" s="8" t="s">
        <v>2370</v>
      </c>
      <c r="E178" s="7" t="s">
        <v>62</v>
      </c>
      <c r="F178" s="7" t="s">
        <v>2946</v>
      </c>
      <c r="G178" s="7" t="s">
        <v>2305</v>
      </c>
      <c r="H178" s="7" t="s">
        <v>2304</v>
      </c>
      <c r="I178" s="7" t="s">
        <v>2947</v>
      </c>
      <c r="J178" s="7">
        <v>3</v>
      </c>
      <c r="K178" s="7">
        <v>1</v>
      </c>
      <c r="L178" s="7">
        <v>4</v>
      </c>
      <c r="M178" s="7" t="s">
        <v>2948</v>
      </c>
      <c r="N178" s="7" t="s">
        <v>268</v>
      </c>
      <c r="O178" s="59" t="s">
        <v>2574</v>
      </c>
    </row>
    <row r="179" spans="1:15" ht="28.5" customHeight="1" x14ac:dyDescent="0.2">
      <c r="A179" s="11">
        <v>178</v>
      </c>
      <c r="B179" s="12" t="s">
        <v>2949</v>
      </c>
      <c r="C179" s="12" t="s">
        <v>2950</v>
      </c>
      <c r="D179" s="13" t="s">
        <v>2390</v>
      </c>
      <c r="E179" s="12" t="s">
        <v>158</v>
      </c>
      <c r="F179" s="12" t="s">
        <v>2304</v>
      </c>
      <c r="G179" s="12" t="s">
        <v>2305</v>
      </c>
      <c r="H179" s="12" t="s">
        <v>2304</v>
      </c>
      <c r="I179" s="12" t="s">
        <v>2951</v>
      </c>
      <c r="J179" s="12"/>
      <c r="K179" s="12"/>
      <c r="L179" s="12"/>
      <c r="M179" s="12" t="s">
        <v>2952</v>
      </c>
      <c r="N179" s="12" t="s">
        <v>268</v>
      </c>
      <c r="O179" s="60" t="s">
        <v>2574</v>
      </c>
    </row>
    <row r="180" spans="1:15" ht="28.5" customHeight="1" x14ac:dyDescent="0.2">
      <c r="A180" s="6">
        <v>179</v>
      </c>
      <c r="B180" s="7" t="s">
        <v>2953</v>
      </c>
      <c r="C180" s="7" t="s">
        <v>2954</v>
      </c>
      <c r="D180" s="8" t="s">
        <v>2303</v>
      </c>
      <c r="E180" s="7" t="s">
        <v>2315</v>
      </c>
      <c r="F180" s="7" t="s">
        <v>2304</v>
      </c>
      <c r="G180" s="7" t="s">
        <v>2305</v>
      </c>
      <c r="H180" s="7" t="s">
        <v>2304</v>
      </c>
      <c r="I180" s="7" t="s">
        <v>2955</v>
      </c>
      <c r="J180" s="7">
        <v>4</v>
      </c>
      <c r="K180" s="7">
        <v>3</v>
      </c>
      <c r="L180" s="7">
        <v>6</v>
      </c>
      <c r="M180" s="7" t="s">
        <v>2956</v>
      </c>
      <c r="N180" s="7" t="s">
        <v>268</v>
      </c>
      <c r="O180" s="59" t="s">
        <v>2600</v>
      </c>
    </row>
    <row r="181" spans="1:15" ht="28.5" customHeight="1" x14ac:dyDescent="0.2">
      <c r="A181" s="11">
        <v>180</v>
      </c>
      <c r="B181" s="12" t="s">
        <v>2957</v>
      </c>
      <c r="C181" s="12" t="s">
        <v>2958</v>
      </c>
      <c r="D181" s="13" t="s">
        <v>2337</v>
      </c>
      <c r="E181" s="12" t="s">
        <v>130</v>
      </c>
      <c r="F181" s="12" t="s">
        <v>43</v>
      </c>
      <c r="G181" s="12" t="s">
        <v>2320</v>
      </c>
      <c r="H181" s="12" t="s">
        <v>2304</v>
      </c>
      <c r="I181" s="12" t="s">
        <v>2959</v>
      </c>
      <c r="J181" s="12">
        <v>3</v>
      </c>
      <c r="K181" s="12"/>
      <c r="L181" s="12"/>
      <c r="M181" s="12" t="s">
        <v>2960</v>
      </c>
      <c r="N181" s="12" t="s">
        <v>268</v>
      </c>
      <c r="O181" s="60" t="s">
        <v>2600</v>
      </c>
    </row>
    <row r="182" spans="1:15" ht="28.5" customHeight="1" x14ac:dyDescent="0.2">
      <c r="A182" s="6">
        <v>181</v>
      </c>
      <c r="B182" s="7" t="s">
        <v>2961</v>
      </c>
      <c r="C182" s="7" t="s">
        <v>2962</v>
      </c>
      <c r="D182" s="8" t="s">
        <v>2353</v>
      </c>
      <c r="E182" s="7" t="s">
        <v>52</v>
      </c>
      <c r="F182" s="7" t="s">
        <v>2304</v>
      </c>
      <c r="G182" s="7" t="s">
        <v>2305</v>
      </c>
      <c r="H182" s="7" t="s">
        <v>2963</v>
      </c>
      <c r="I182" s="7" t="s">
        <v>2964</v>
      </c>
      <c r="J182" s="7">
        <v>3</v>
      </c>
      <c r="K182" s="7">
        <v>0</v>
      </c>
      <c r="L182" s="7">
        <v>9</v>
      </c>
      <c r="M182" s="7" t="s">
        <v>2965</v>
      </c>
      <c r="N182" s="7" t="s">
        <v>268</v>
      </c>
      <c r="O182" s="59" t="s">
        <v>2600</v>
      </c>
    </row>
    <row r="183" spans="1:15" ht="28.5" customHeight="1" x14ac:dyDescent="0.2">
      <c r="A183" s="11">
        <v>182</v>
      </c>
      <c r="B183" s="12" t="s">
        <v>2966</v>
      </c>
      <c r="C183" s="12" t="s">
        <v>2967</v>
      </c>
      <c r="D183" s="13" t="s">
        <v>2353</v>
      </c>
      <c r="E183" s="12" t="s">
        <v>158</v>
      </c>
      <c r="F183" s="12" t="s">
        <v>2399</v>
      </c>
      <c r="G183" s="12" t="s">
        <v>2305</v>
      </c>
      <c r="H183" s="12" t="s">
        <v>2400</v>
      </c>
      <c r="I183" s="12" t="s">
        <v>2968</v>
      </c>
      <c r="J183" s="12">
        <v>3</v>
      </c>
      <c r="K183" s="12">
        <v>3</v>
      </c>
      <c r="L183" s="12">
        <v>2</v>
      </c>
      <c r="M183" s="12" t="s">
        <v>2969</v>
      </c>
      <c r="N183" s="12" t="s">
        <v>268</v>
      </c>
      <c r="O183" s="60" t="s">
        <v>2600</v>
      </c>
    </row>
    <row r="184" spans="1:15" ht="28.5" customHeight="1" x14ac:dyDescent="0.2">
      <c r="A184" s="6">
        <v>183</v>
      </c>
      <c r="B184" s="7" t="s">
        <v>2970</v>
      </c>
      <c r="C184" s="7" t="s">
        <v>2971</v>
      </c>
      <c r="D184" s="8" t="s">
        <v>2370</v>
      </c>
      <c r="E184" s="7" t="s">
        <v>187</v>
      </c>
      <c r="F184" s="7" t="s">
        <v>2304</v>
      </c>
      <c r="G184" s="7" t="s">
        <v>2305</v>
      </c>
      <c r="H184" s="7" t="s">
        <v>2304</v>
      </c>
      <c r="I184" s="7" t="s">
        <v>2972</v>
      </c>
      <c r="J184" s="7">
        <v>3</v>
      </c>
      <c r="K184" s="7">
        <v>3</v>
      </c>
      <c r="L184" s="7">
        <v>2</v>
      </c>
      <c r="M184" s="7" t="s">
        <v>2973</v>
      </c>
      <c r="N184" s="7" t="s">
        <v>268</v>
      </c>
      <c r="O184" s="59" t="s">
        <v>2600</v>
      </c>
    </row>
    <row r="185" spans="1:15" ht="28.5" customHeight="1" x14ac:dyDescent="0.2">
      <c r="A185" s="11">
        <v>184</v>
      </c>
      <c r="B185" s="12" t="s">
        <v>273</v>
      </c>
      <c r="C185" s="12" t="s">
        <v>274</v>
      </c>
      <c r="D185" s="13" t="s">
        <v>2390</v>
      </c>
      <c r="E185" s="12" t="s">
        <v>62</v>
      </c>
      <c r="F185" s="12" t="s">
        <v>2304</v>
      </c>
      <c r="G185" s="12" t="s">
        <v>2305</v>
      </c>
      <c r="H185" s="12" t="s">
        <v>2400</v>
      </c>
      <c r="I185" s="12" t="s">
        <v>2974</v>
      </c>
      <c r="J185" s="12">
        <v>2</v>
      </c>
      <c r="K185" s="12">
        <v>2</v>
      </c>
      <c r="L185" s="12">
        <v>1</v>
      </c>
      <c r="M185" s="12" t="s">
        <v>2975</v>
      </c>
      <c r="N185" s="12" t="s">
        <v>268</v>
      </c>
      <c r="O185" s="60" t="s">
        <v>2600</v>
      </c>
    </row>
    <row r="186" spans="1:15" ht="28.5" customHeight="1" x14ac:dyDescent="0.2">
      <c r="A186" s="6">
        <v>185</v>
      </c>
      <c r="B186" s="7" t="s">
        <v>764</v>
      </c>
      <c r="C186" s="7" t="s">
        <v>765</v>
      </c>
      <c r="D186" s="8" t="s">
        <v>2390</v>
      </c>
      <c r="E186" s="7" t="s">
        <v>43</v>
      </c>
      <c r="F186" s="7" t="s">
        <v>2304</v>
      </c>
      <c r="G186" s="7" t="s">
        <v>2320</v>
      </c>
      <c r="H186" s="7" t="s">
        <v>2304</v>
      </c>
      <c r="I186" s="7" t="s">
        <v>2976</v>
      </c>
      <c r="J186" s="7">
        <v>4</v>
      </c>
      <c r="K186" s="7"/>
      <c r="L186" s="7"/>
      <c r="M186" s="7" t="s">
        <v>2977</v>
      </c>
      <c r="N186" s="7" t="s">
        <v>268</v>
      </c>
      <c r="O186" s="59" t="s">
        <v>2600</v>
      </c>
    </row>
    <row r="187" spans="1:15" ht="28.5" customHeight="1" x14ac:dyDescent="0.2">
      <c r="A187" s="11">
        <v>186</v>
      </c>
      <c r="B187" s="12" t="s">
        <v>2978</v>
      </c>
      <c r="C187" s="12" t="s">
        <v>2979</v>
      </c>
      <c r="D187" s="13" t="s">
        <v>2303</v>
      </c>
      <c r="E187" s="12" t="s">
        <v>2315</v>
      </c>
      <c r="F187" s="12" t="s">
        <v>2304</v>
      </c>
      <c r="G187" s="12" t="s">
        <v>2305</v>
      </c>
      <c r="H187" s="12" t="s">
        <v>2304</v>
      </c>
      <c r="I187" s="12" t="s">
        <v>2980</v>
      </c>
      <c r="J187" s="12">
        <v>2</v>
      </c>
      <c r="K187" s="12">
        <v>1</v>
      </c>
      <c r="L187" s="12">
        <v>2</v>
      </c>
      <c r="M187" s="12" t="s">
        <v>2981</v>
      </c>
      <c r="N187" s="12" t="s">
        <v>666</v>
      </c>
      <c r="O187" s="60" t="s">
        <v>547</v>
      </c>
    </row>
    <row r="188" spans="1:15" ht="28.5" customHeight="1" x14ac:dyDescent="0.2">
      <c r="A188" s="6">
        <v>187</v>
      </c>
      <c r="B188" s="7" t="s">
        <v>2982</v>
      </c>
      <c r="C188" s="7" t="s">
        <v>2983</v>
      </c>
      <c r="D188" s="8" t="s">
        <v>2303</v>
      </c>
      <c r="E188" s="7" t="s">
        <v>2315</v>
      </c>
      <c r="F188" s="7" t="s">
        <v>2304</v>
      </c>
      <c r="G188" s="7" t="s">
        <v>2305</v>
      </c>
      <c r="H188" s="7" t="s">
        <v>2304</v>
      </c>
      <c r="I188" s="7" t="s">
        <v>2984</v>
      </c>
      <c r="J188" s="7">
        <v>3</v>
      </c>
      <c r="K188" s="7">
        <v>3</v>
      </c>
      <c r="L188" s="7">
        <v>2</v>
      </c>
      <c r="M188" s="7" t="s">
        <v>2985</v>
      </c>
      <c r="N188" s="7" t="s">
        <v>666</v>
      </c>
      <c r="O188" s="59" t="s">
        <v>547</v>
      </c>
    </row>
    <row r="189" spans="1:15" ht="28.5" customHeight="1" x14ac:dyDescent="0.2">
      <c r="A189" s="11">
        <v>188</v>
      </c>
      <c r="B189" s="12" t="s">
        <v>2986</v>
      </c>
      <c r="C189" s="12" t="s">
        <v>2987</v>
      </c>
      <c r="D189" s="13" t="s">
        <v>2303</v>
      </c>
      <c r="E189" s="12" t="s">
        <v>2549</v>
      </c>
      <c r="F189" s="12" t="s">
        <v>2399</v>
      </c>
      <c r="G189" s="12" t="s">
        <v>2305</v>
      </c>
      <c r="H189" s="12" t="s">
        <v>2333</v>
      </c>
      <c r="I189" s="12" t="s">
        <v>2988</v>
      </c>
      <c r="J189" s="12">
        <v>4</v>
      </c>
      <c r="K189" s="12">
        <v>3</v>
      </c>
      <c r="L189" s="12">
        <v>3</v>
      </c>
      <c r="M189" s="12" t="s">
        <v>2989</v>
      </c>
      <c r="N189" s="12" t="s">
        <v>666</v>
      </c>
      <c r="O189" s="60" t="s">
        <v>547</v>
      </c>
    </row>
    <row r="190" spans="1:15" ht="28.5" customHeight="1" x14ac:dyDescent="0.2">
      <c r="A190" s="6">
        <v>189</v>
      </c>
      <c r="B190" s="7" t="s">
        <v>2990</v>
      </c>
      <c r="C190" s="7" t="s">
        <v>2991</v>
      </c>
      <c r="D190" s="8" t="s">
        <v>2337</v>
      </c>
      <c r="E190" s="7" t="s">
        <v>43</v>
      </c>
      <c r="F190" s="7" t="s">
        <v>2304</v>
      </c>
      <c r="G190" s="7" t="s">
        <v>2305</v>
      </c>
      <c r="H190" s="7" t="s">
        <v>2304</v>
      </c>
      <c r="I190" s="7" t="s">
        <v>2992</v>
      </c>
      <c r="J190" s="7">
        <v>5</v>
      </c>
      <c r="K190" s="7">
        <v>3</v>
      </c>
      <c r="L190" s="7">
        <v>4</v>
      </c>
      <c r="M190" s="7" t="s">
        <v>2993</v>
      </c>
      <c r="N190" s="7" t="s">
        <v>666</v>
      </c>
      <c r="O190" s="59" t="s">
        <v>547</v>
      </c>
    </row>
    <row r="191" spans="1:15" ht="28.5" customHeight="1" x14ac:dyDescent="0.2">
      <c r="A191" s="11">
        <v>190</v>
      </c>
      <c r="B191" s="12" t="s">
        <v>2994</v>
      </c>
      <c r="C191" s="12" t="s">
        <v>2995</v>
      </c>
      <c r="D191" s="13" t="s">
        <v>2337</v>
      </c>
      <c r="E191" s="12" t="s">
        <v>2438</v>
      </c>
      <c r="F191" s="12" t="s">
        <v>2304</v>
      </c>
      <c r="G191" s="12" t="s">
        <v>2305</v>
      </c>
      <c r="H191" s="12" t="s">
        <v>2304</v>
      </c>
      <c r="I191" s="12" t="s">
        <v>2996</v>
      </c>
      <c r="J191" s="12">
        <v>6</v>
      </c>
      <c r="K191" s="12">
        <v>6</v>
      </c>
      <c r="L191" s="12">
        <v>6</v>
      </c>
      <c r="M191" s="12" t="s">
        <v>2997</v>
      </c>
      <c r="N191" s="12" t="s">
        <v>666</v>
      </c>
      <c r="O191" s="60" t="s">
        <v>547</v>
      </c>
    </row>
    <row r="192" spans="1:15" ht="28.5" customHeight="1" x14ac:dyDescent="0.2">
      <c r="A192" s="6">
        <v>191</v>
      </c>
      <c r="B192" s="7" t="s">
        <v>2998</v>
      </c>
      <c r="C192" s="7" t="s">
        <v>2999</v>
      </c>
      <c r="D192" s="8" t="s">
        <v>2337</v>
      </c>
      <c r="E192" s="7" t="s">
        <v>2577</v>
      </c>
      <c r="F192" s="7" t="s">
        <v>2304</v>
      </c>
      <c r="G192" s="7" t="s">
        <v>2305</v>
      </c>
      <c r="H192" s="7" t="s">
        <v>2304</v>
      </c>
      <c r="I192" s="7" t="s">
        <v>3000</v>
      </c>
      <c r="J192" s="7">
        <v>10</v>
      </c>
      <c r="K192" s="7">
        <v>6</v>
      </c>
      <c r="L192" s="7">
        <v>6</v>
      </c>
      <c r="M192" s="7" t="s">
        <v>3001</v>
      </c>
      <c r="N192" s="7" t="s">
        <v>666</v>
      </c>
      <c r="O192" s="59" t="s">
        <v>547</v>
      </c>
    </row>
    <row r="193" spans="1:15" ht="28.5" customHeight="1" x14ac:dyDescent="0.2">
      <c r="A193" s="11">
        <v>192</v>
      </c>
      <c r="B193" s="12" t="s">
        <v>3002</v>
      </c>
      <c r="C193" s="12" t="s">
        <v>3003</v>
      </c>
      <c r="D193" s="13" t="s">
        <v>2353</v>
      </c>
      <c r="E193" s="12" t="s">
        <v>43</v>
      </c>
      <c r="F193" s="12" t="s">
        <v>2304</v>
      </c>
      <c r="G193" s="12" t="s">
        <v>2305</v>
      </c>
      <c r="H193" s="12" t="s">
        <v>2304</v>
      </c>
      <c r="I193" s="12" t="s">
        <v>3004</v>
      </c>
      <c r="J193" s="12">
        <v>6</v>
      </c>
      <c r="K193" s="12">
        <v>4</v>
      </c>
      <c r="L193" s="12">
        <v>4</v>
      </c>
      <c r="M193" s="12" t="s">
        <v>3005</v>
      </c>
      <c r="N193" s="12" t="s">
        <v>666</v>
      </c>
      <c r="O193" s="60" t="s">
        <v>547</v>
      </c>
    </row>
    <row r="194" spans="1:15" ht="28.5" customHeight="1" x14ac:dyDescent="0.2">
      <c r="A194" s="6">
        <v>193</v>
      </c>
      <c r="B194" s="7" t="s">
        <v>3006</v>
      </c>
      <c r="C194" s="7" t="s">
        <v>3007</v>
      </c>
      <c r="D194" s="8" t="s">
        <v>2353</v>
      </c>
      <c r="E194" s="7" t="s">
        <v>43</v>
      </c>
      <c r="F194" s="7" t="s">
        <v>62</v>
      </c>
      <c r="G194" s="7" t="s">
        <v>2305</v>
      </c>
      <c r="H194" s="7" t="s">
        <v>2682</v>
      </c>
      <c r="I194" s="7" t="s">
        <v>3008</v>
      </c>
      <c r="J194" s="7">
        <v>7</v>
      </c>
      <c r="K194" s="7">
        <v>5</v>
      </c>
      <c r="L194" s="7">
        <v>10</v>
      </c>
      <c r="M194" s="7" t="s">
        <v>3009</v>
      </c>
      <c r="N194" s="7" t="s">
        <v>666</v>
      </c>
      <c r="O194" s="59" t="s">
        <v>547</v>
      </c>
    </row>
    <row r="195" spans="1:15" ht="28.5" customHeight="1" x14ac:dyDescent="0.2">
      <c r="A195" s="11">
        <v>194</v>
      </c>
      <c r="B195" s="12" t="s">
        <v>3010</v>
      </c>
      <c r="C195" s="12" t="s">
        <v>3011</v>
      </c>
      <c r="D195" s="13" t="s">
        <v>2353</v>
      </c>
      <c r="E195" s="12" t="s">
        <v>52</v>
      </c>
      <c r="F195" s="12" t="s">
        <v>2304</v>
      </c>
      <c r="G195" s="12" t="s">
        <v>2320</v>
      </c>
      <c r="H195" s="12" t="s">
        <v>2304</v>
      </c>
      <c r="I195" s="12" t="s">
        <v>3012</v>
      </c>
      <c r="J195" s="12">
        <v>9</v>
      </c>
      <c r="K195" s="12"/>
      <c r="L195" s="12"/>
      <c r="M195" s="12" t="s">
        <v>3013</v>
      </c>
      <c r="N195" s="12" t="s">
        <v>666</v>
      </c>
      <c r="O195" s="60" t="s">
        <v>547</v>
      </c>
    </row>
    <row r="196" spans="1:15" ht="28.5" customHeight="1" x14ac:dyDescent="0.2">
      <c r="A196" s="6">
        <v>195</v>
      </c>
      <c r="B196" s="7" t="s">
        <v>3014</v>
      </c>
      <c r="C196" s="7" t="s">
        <v>3015</v>
      </c>
      <c r="D196" s="8" t="s">
        <v>2370</v>
      </c>
      <c r="E196" s="7" t="s">
        <v>3016</v>
      </c>
      <c r="F196" s="7" t="s">
        <v>2304</v>
      </c>
      <c r="G196" s="7" t="s">
        <v>2305</v>
      </c>
      <c r="H196" s="7" t="s">
        <v>2304</v>
      </c>
      <c r="I196" s="7" t="s">
        <v>3017</v>
      </c>
      <c r="J196" s="7">
        <v>4</v>
      </c>
      <c r="K196" s="7">
        <v>3</v>
      </c>
      <c r="L196" s="7">
        <v>3</v>
      </c>
      <c r="M196" s="7" t="s">
        <v>3018</v>
      </c>
      <c r="N196" s="7" t="s">
        <v>666</v>
      </c>
      <c r="O196" s="59" t="s">
        <v>547</v>
      </c>
    </row>
    <row r="197" spans="1:15" ht="28.5" customHeight="1" x14ac:dyDescent="0.2">
      <c r="A197" s="11">
        <v>196</v>
      </c>
      <c r="B197" s="12" t="s">
        <v>3019</v>
      </c>
      <c r="C197" s="12" t="s">
        <v>3020</v>
      </c>
      <c r="D197" s="13" t="s">
        <v>2370</v>
      </c>
      <c r="E197" s="12" t="s">
        <v>43</v>
      </c>
      <c r="F197" s="12" t="s">
        <v>2399</v>
      </c>
      <c r="G197" s="12" t="s">
        <v>2305</v>
      </c>
      <c r="H197" s="12" t="s">
        <v>2304</v>
      </c>
      <c r="I197" s="12" t="s">
        <v>3021</v>
      </c>
      <c r="J197" s="12">
        <v>6</v>
      </c>
      <c r="K197" s="12">
        <v>4</v>
      </c>
      <c r="L197" s="12">
        <v>4</v>
      </c>
      <c r="M197" s="12" t="s">
        <v>3022</v>
      </c>
      <c r="N197" s="12" t="s">
        <v>666</v>
      </c>
      <c r="O197" s="60" t="s">
        <v>547</v>
      </c>
    </row>
    <row r="198" spans="1:15" ht="28.5" customHeight="1" x14ac:dyDescent="0.2">
      <c r="A198" s="6">
        <v>197</v>
      </c>
      <c r="B198" s="7" t="s">
        <v>3023</v>
      </c>
      <c r="C198" s="7" t="s">
        <v>3024</v>
      </c>
      <c r="D198" s="8" t="s">
        <v>2370</v>
      </c>
      <c r="E198" s="7" t="s">
        <v>2577</v>
      </c>
      <c r="F198" s="7" t="s">
        <v>2304</v>
      </c>
      <c r="G198" s="7" t="s">
        <v>2305</v>
      </c>
      <c r="H198" s="7" t="s">
        <v>2304</v>
      </c>
      <c r="I198" s="7" t="s">
        <v>3025</v>
      </c>
      <c r="J198" s="7">
        <v>8</v>
      </c>
      <c r="K198" s="7">
        <v>6</v>
      </c>
      <c r="L198" s="7">
        <v>6</v>
      </c>
      <c r="M198" s="7" t="s">
        <v>3026</v>
      </c>
      <c r="N198" s="7" t="s">
        <v>666</v>
      </c>
      <c r="O198" s="59" t="s">
        <v>547</v>
      </c>
    </row>
    <row r="199" spans="1:15" ht="28.5" customHeight="1" x14ac:dyDescent="0.2">
      <c r="A199" s="11">
        <v>198</v>
      </c>
      <c r="B199" s="12" t="s">
        <v>3027</v>
      </c>
      <c r="C199" s="12" t="s">
        <v>3028</v>
      </c>
      <c r="D199" s="13" t="s">
        <v>2390</v>
      </c>
      <c r="E199" s="12" t="s">
        <v>2549</v>
      </c>
      <c r="F199" s="12" t="s">
        <v>2304</v>
      </c>
      <c r="G199" s="12" t="s">
        <v>2305</v>
      </c>
      <c r="H199" s="12" t="s">
        <v>2400</v>
      </c>
      <c r="I199" s="12" t="s">
        <v>3029</v>
      </c>
      <c r="J199" s="12">
        <v>6</v>
      </c>
      <c r="K199" s="12">
        <v>4</v>
      </c>
      <c r="L199" s="12">
        <v>3</v>
      </c>
      <c r="M199" s="12" t="s">
        <v>3030</v>
      </c>
      <c r="N199" s="12" t="s">
        <v>666</v>
      </c>
      <c r="O199" s="60" t="s">
        <v>547</v>
      </c>
    </row>
    <row r="200" spans="1:15" ht="28.5" customHeight="1" x14ac:dyDescent="0.2">
      <c r="A200" s="6">
        <v>199</v>
      </c>
      <c r="B200" s="7" t="s">
        <v>236</v>
      </c>
      <c r="C200" s="7" t="s">
        <v>3031</v>
      </c>
      <c r="D200" s="8" t="s">
        <v>2390</v>
      </c>
      <c r="E200" s="7" t="s">
        <v>130</v>
      </c>
      <c r="F200" s="7" t="s">
        <v>2304</v>
      </c>
      <c r="G200" s="7" t="s">
        <v>2305</v>
      </c>
      <c r="H200" s="7" t="s">
        <v>3032</v>
      </c>
      <c r="I200" s="7" t="s">
        <v>3033</v>
      </c>
      <c r="J200" s="7">
        <v>6</v>
      </c>
      <c r="K200" s="7">
        <v>4</v>
      </c>
      <c r="L200" s="7">
        <v>5</v>
      </c>
      <c r="M200" s="7" t="s">
        <v>3034</v>
      </c>
      <c r="N200" s="7" t="s">
        <v>666</v>
      </c>
      <c r="O200" s="59" t="s">
        <v>547</v>
      </c>
    </row>
    <row r="201" spans="1:15" ht="28.5" customHeight="1" x14ac:dyDescent="0.2">
      <c r="A201" s="11">
        <v>200</v>
      </c>
      <c r="B201" s="12" t="s">
        <v>3035</v>
      </c>
      <c r="C201" s="12" t="s">
        <v>3036</v>
      </c>
      <c r="D201" s="13" t="s">
        <v>2390</v>
      </c>
      <c r="E201" s="12" t="s">
        <v>684</v>
      </c>
      <c r="F201" s="12" t="s">
        <v>2304</v>
      </c>
      <c r="G201" s="12" t="s">
        <v>2305</v>
      </c>
      <c r="H201" s="12" t="s">
        <v>2400</v>
      </c>
      <c r="I201" s="12" t="s">
        <v>3037</v>
      </c>
      <c r="J201" s="12">
        <v>9</v>
      </c>
      <c r="K201" s="12">
        <v>7</v>
      </c>
      <c r="L201" s="12">
        <v>7</v>
      </c>
      <c r="M201" s="12" t="s">
        <v>3038</v>
      </c>
      <c r="N201" s="12" t="s">
        <v>666</v>
      </c>
      <c r="O201" s="60" t="s">
        <v>547</v>
      </c>
    </row>
    <row r="202" spans="1:15" ht="28.5" customHeight="1" x14ac:dyDescent="0.2">
      <c r="A202" s="6">
        <v>201</v>
      </c>
      <c r="B202" s="7" t="s">
        <v>3039</v>
      </c>
      <c r="C202" s="7" t="s">
        <v>3040</v>
      </c>
      <c r="D202" s="8" t="s">
        <v>2303</v>
      </c>
      <c r="E202" s="7" t="s">
        <v>130</v>
      </c>
      <c r="F202" s="7" t="s">
        <v>2304</v>
      </c>
      <c r="G202" s="7" t="s">
        <v>2305</v>
      </c>
      <c r="H202" s="7" t="s">
        <v>2304</v>
      </c>
      <c r="I202" s="7" t="s">
        <v>3041</v>
      </c>
      <c r="J202" s="7">
        <v>3</v>
      </c>
      <c r="K202" s="7">
        <v>1</v>
      </c>
      <c r="L202" s="7">
        <v>4</v>
      </c>
      <c r="M202" s="7" t="s">
        <v>3042</v>
      </c>
      <c r="N202" s="7" t="s">
        <v>666</v>
      </c>
      <c r="O202" s="59" t="s">
        <v>2516</v>
      </c>
    </row>
    <row r="203" spans="1:15" ht="28.5" customHeight="1" x14ac:dyDescent="0.2">
      <c r="A203" s="11">
        <v>202</v>
      </c>
      <c r="B203" s="12" t="s">
        <v>3043</v>
      </c>
      <c r="C203" s="12" t="s">
        <v>3044</v>
      </c>
      <c r="D203" s="13" t="s">
        <v>2303</v>
      </c>
      <c r="E203" s="12" t="s">
        <v>62</v>
      </c>
      <c r="F203" s="12" t="s">
        <v>2304</v>
      </c>
      <c r="G203" s="12" t="s">
        <v>2305</v>
      </c>
      <c r="H203" s="12" t="s">
        <v>2304</v>
      </c>
      <c r="I203" s="12" t="s">
        <v>3045</v>
      </c>
      <c r="J203" s="12">
        <v>5</v>
      </c>
      <c r="K203" s="12">
        <v>4</v>
      </c>
      <c r="L203" s="12">
        <v>4</v>
      </c>
      <c r="M203" s="12" t="s">
        <v>3046</v>
      </c>
      <c r="N203" s="12" t="s">
        <v>666</v>
      </c>
      <c r="O203" s="60" t="s">
        <v>2516</v>
      </c>
    </row>
    <row r="204" spans="1:15" ht="28.5" customHeight="1" x14ac:dyDescent="0.2">
      <c r="A204" s="6">
        <v>203</v>
      </c>
      <c r="B204" s="7" t="s">
        <v>3047</v>
      </c>
      <c r="C204" s="7" t="s">
        <v>3048</v>
      </c>
      <c r="D204" s="8" t="s">
        <v>2337</v>
      </c>
      <c r="E204" s="7" t="s">
        <v>130</v>
      </c>
      <c r="F204" s="7" t="s">
        <v>2304</v>
      </c>
      <c r="G204" s="7" t="s">
        <v>2305</v>
      </c>
      <c r="H204" s="7" t="s">
        <v>2426</v>
      </c>
      <c r="I204" s="7" t="s">
        <v>3049</v>
      </c>
      <c r="J204" s="7">
        <v>5</v>
      </c>
      <c r="K204" s="7">
        <v>5</v>
      </c>
      <c r="L204" s="7">
        <v>3</v>
      </c>
      <c r="M204" s="7" t="s">
        <v>3050</v>
      </c>
      <c r="N204" s="7" t="s">
        <v>666</v>
      </c>
      <c r="O204" s="59" t="s">
        <v>2516</v>
      </c>
    </row>
    <row r="205" spans="1:15" ht="28.5" customHeight="1" x14ac:dyDescent="0.2">
      <c r="A205" s="11">
        <v>204</v>
      </c>
      <c r="B205" s="12" t="s">
        <v>3051</v>
      </c>
      <c r="C205" s="12" t="s">
        <v>3052</v>
      </c>
      <c r="D205" s="13" t="s">
        <v>2337</v>
      </c>
      <c r="E205" s="12" t="s">
        <v>531</v>
      </c>
      <c r="F205" s="12" t="s">
        <v>2304</v>
      </c>
      <c r="G205" s="12" t="s">
        <v>2305</v>
      </c>
      <c r="H205" s="12" t="s">
        <v>2304</v>
      </c>
      <c r="I205" s="12" t="s">
        <v>3053</v>
      </c>
      <c r="J205" s="12">
        <v>8</v>
      </c>
      <c r="K205" s="12">
        <v>5</v>
      </c>
      <c r="L205" s="12">
        <v>5</v>
      </c>
      <c r="M205" s="12" t="s">
        <v>3054</v>
      </c>
      <c r="N205" s="12" t="s">
        <v>666</v>
      </c>
      <c r="O205" s="60" t="s">
        <v>2516</v>
      </c>
    </row>
    <row r="206" spans="1:15" ht="28.5" customHeight="1" x14ac:dyDescent="0.2">
      <c r="A206" s="6">
        <v>205</v>
      </c>
      <c r="B206" s="7" t="s">
        <v>3055</v>
      </c>
      <c r="C206" s="7" t="s">
        <v>3056</v>
      </c>
      <c r="D206" s="8" t="s">
        <v>2353</v>
      </c>
      <c r="E206" s="7" t="s">
        <v>684</v>
      </c>
      <c r="F206" s="7" t="s">
        <v>2304</v>
      </c>
      <c r="G206" s="7" t="s">
        <v>2305</v>
      </c>
      <c r="H206" s="7" t="s">
        <v>3057</v>
      </c>
      <c r="I206" s="7" t="s">
        <v>3058</v>
      </c>
      <c r="J206" s="7">
        <v>5</v>
      </c>
      <c r="K206" s="7">
        <v>3</v>
      </c>
      <c r="L206" s="7">
        <v>6</v>
      </c>
      <c r="M206" s="7" t="s">
        <v>3059</v>
      </c>
      <c r="N206" s="7" t="s">
        <v>666</v>
      </c>
      <c r="O206" s="59" t="s">
        <v>2516</v>
      </c>
    </row>
    <row r="207" spans="1:15" ht="28.5" customHeight="1" x14ac:dyDescent="0.2">
      <c r="A207" s="11">
        <v>206</v>
      </c>
      <c r="B207" s="12" t="s">
        <v>3060</v>
      </c>
      <c r="C207" s="12" t="s">
        <v>3061</v>
      </c>
      <c r="D207" s="13" t="s">
        <v>2353</v>
      </c>
      <c r="E207" s="12" t="s">
        <v>52</v>
      </c>
      <c r="F207" s="12" t="s">
        <v>2304</v>
      </c>
      <c r="G207" s="12" t="s">
        <v>2305</v>
      </c>
      <c r="H207" s="12" t="s">
        <v>2304</v>
      </c>
      <c r="I207" s="12" t="s">
        <v>3062</v>
      </c>
      <c r="J207" s="12">
        <v>5</v>
      </c>
      <c r="K207" s="12">
        <v>0</v>
      </c>
      <c r="L207" s="12">
        <v>7</v>
      </c>
      <c r="M207" s="12" t="s">
        <v>3063</v>
      </c>
      <c r="N207" s="12" t="s">
        <v>666</v>
      </c>
      <c r="O207" s="60" t="s">
        <v>2516</v>
      </c>
    </row>
    <row r="208" spans="1:15" ht="28.5" customHeight="1" x14ac:dyDescent="0.2">
      <c r="A208" s="6">
        <v>207</v>
      </c>
      <c r="B208" s="7" t="s">
        <v>3064</v>
      </c>
      <c r="C208" s="7" t="s">
        <v>3065</v>
      </c>
      <c r="D208" s="8" t="s">
        <v>2370</v>
      </c>
      <c r="E208" s="7" t="s">
        <v>43</v>
      </c>
      <c r="F208" s="7" t="s">
        <v>2304</v>
      </c>
      <c r="G208" s="7" t="s">
        <v>2305</v>
      </c>
      <c r="H208" s="7" t="s">
        <v>2304</v>
      </c>
      <c r="I208" s="7" t="s">
        <v>3066</v>
      </c>
      <c r="J208" s="7">
        <v>1</v>
      </c>
      <c r="K208" s="7">
        <v>2</v>
      </c>
      <c r="L208" s="7">
        <v>2</v>
      </c>
      <c r="M208" s="7" t="s">
        <v>3067</v>
      </c>
      <c r="N208" s="7" t="s">
        <v>666</v>
      </c>
      <c r="O208" s="59" t="s">
        <v>2516</v>
      </c>
    </row>
    <row r="209" spans="1:15" ht="28.5" customHeight="1" x14ac:dyDescent="0.2">
      <c r="A209" s="11">
        <v>208</v>
      </c>
      <c r="B209" s="12" t="s">
        <v>3068</v>
      </c>
      <c r="C209" s="12" t="s">
        <v>3069</v>
      </c>
      <c r="D209" s="13" t="s">
        <v>2370</v>
      </c>
      <c r="E209" s="12" t="s">
        <v>2315</v>
      </c>
      <c r="F209" s="12" t="s">
        <v>2304</v>
      </c>
      <c r="G209" s="12" t="s">
        <v>2305</v>
      </c>
      <c r="H209" s="12" t="s">
        <v>2304</v>
      </c>
      <c r="I209" s="12" t="s">
        <v>3070</v>
      </c>
      <c r="J209" s="12">
        <v>4</v>
      </c>
      <c r="K209" s="12">
        <v>3</v>
      </c>
      <c r="L209" s="12">
        <v>2</v>
      </c>
      <c r="M209" s="12" t="s">
        <v>3071</v>
      </c>
      <c r="N209" s="12" t="s">
        <v>666</v>
      </c>
      <c r="O209" s="60" t="s">
        <v>2516</v>
      </c>
    </row>
    <row r="210" spans="1:15" ht="28.5" customHeight="1" x14ac:dyDescent="0.2">
      <c r="A210" s="6">
        <v>209</v>
      </c>
      <c r="B210" s="7" t="s">
        <v>3072</v>
      </c>
      <c r="C210" s="7" t="s">
        <v>3073</v>
      </c>
      <c r="D210" s="8" t="s">
        <v>2390</v>
      </c>
      <c r="E210" s="7" t="s">
        <v>130</v>
      </c>
      <c r="F210" s="7" t="s">
        <v>2304</v>
      </c>
      <c r="G210" s="7" t="s">
        <v>2305</v>
      </c>
      <c r="H210" s="7" t="s">
        <v>2304</v>
      </c>
      <c r="I210" s="7" t="s">
        <v>3074</v>
      </c>
      <c r="J210" s="7">
        <v>5</v>
      </c>
      <c r="K210" s="7">
        <v>2</v>
      </c>
      <c r="L210" s="7">
        <v>2</v>
      </c>
      <c r="M210" s="7" t="s">
        <v>3075</v>
      </c>
      <c r="N210" s="7" t="s">
        <v>666</v>
      </c>
      <c r="O210" s="59" t="s">
        <v>2516</v>
      </c>
    </row>
    <row r="211" spans="1:15" ht="28.5" customHeight="1" x14ac:dyDescent="0.2">
      <c r="A211" s="11">
        <v>210</v>
      </c>
      <c r="B211" s="12" t="s">
        <v>3076</v>
      </c>
      <c r="C211" s="12" t="s">
        <v>3077</v>
      </c>
      <c r="D211" s="13" t="s">
        <v>2390</v>
      </c>
      <c r="E211" s="12" t="s">
        <v>2861</v>
      </c>
      <c r="F211" s="12" t="s">
        <v>130</v>
      </c>
      <c r="G211" s="12" t="s">
        <v>2305</v>
      </c>
      <c r="H211" s="12" t="s">
        <v>3078</v>
      </c>
      <c r="I211" s="12" t="s">
        <v>3079</v>
      </c>
      <c r="J211" s="12">
        <v>8</v>
      </c>
      <c r="K211" s="12">
        <v>6</v>
      </c>
      <c r="L211" s="12">
        <v>6</v>
      </c>
      <c r="M211" s="12" t="s">
        <v>3080</v>
      </c>
      <c r="N211" s="12" t="s">
        <v>666</v>
      </c>
      <c r="O211" s="60" t="s">
        <v>2516</v>
      </c>
    </row>
    <row r="212" spans="1:15" ht="28.5" customHeight="1" x14ac:dyDescent="0.2">
      <c r="A212" s="6">
        <v>211</v>
      </c>
      <c r="B212" s="7" t="s">
        <v>1927</v>
      </c>
      <c r="C212" s="7" t="s">
        <v>3081</v>
      </c>
      <c r="D212" s="8" t="s">
        <v>2303</v>
      </c>
      <c r="E212" s="7" t="s">
        <v>31</v>
      </c>
      <c r="F212" s="7" t="s">
        <v>2304</v>
      </c>
      <c r="G212" s="7" t="s">
        <v>2305</v>
      </c>
      <c r="H212" s="7" t="s">
        <v>2333</v>
      </c>
      <c r="I212" s="7" t="s">
        <v>3082</v>
      </c>
      <c r="J212" s="7">
        <v>5</v>
      </c>
      <c r="K212" s="7">
        <v>5</v>
      </c>
      <c r="L212" s="7">
        <v>4</v>
      </c>
      <c r="M212" s="7" t="s">
        <v>3083</v>
      </c>
      <c r="N212" s="7" t="s">
        <v>666</v>
      </c>
      <c r="O212" s="59" t="s">
        <v>2574</v>
      </c>
    </row>
    <row r="213" spans="1:15" ht="28.5" customHeight="1" x14ac:dyDescent="0.2">
      <c r="A213" s="11">
        <v>212</v>
      </c>
      <c r="B213" s="12" t="s">
        <v>1951</v>
      </c>
      <c r="C213" s="12" t="s">
        <v>3084</v>
      </c>
      <c r="D213" s="13" t="s">
        <v>2337</v>
      </c>
      <c r="E213" s="12" t="s">
        <v>2577</v>
      </c>
      <c r="F213" s="12" t="s">
        <v>2304</v>
      </c>
      <c r="G213" s="12" t="s">
        <v>2305</v>
      </c>
      <c r="H213" s="12" t="s">
        <v>2304</v>
      </c>
      <c r="I213" s="12" t="s">
        <v>3085</v>
      </c>
      <c r="J213" s="12">
        <v>6</v>
      </c>
      <c r="K213" s="12">
        <v>6</v>
      </c>
      <c r="L213" s="12">
        <v>6</v>
      </c>
      <c r="M213" s="12" t="s">
        <v>3086</v>
      </c>
      <c r="N213" s="12" t="s">
        <v>666</v>
      </c>
      <c r="O213" s="60" t="s">
        <v>2574</v>
      </c>
    </row>
    <row r="214" spans="1:15" ht="28.5" customHeight="1" x14ac:dyDescent="0.2">
      <c r="A214" s="6">
        <v>213</v>
      </c>
      <c r="B214" s="7" t="s">
        <v>3087</v>
      </c>
      <c r="C214" s="7" t="s">
        <v>3088</v>
      </c>
      <c r="D214" s="8" t="s">
        <v>2353</v>
      </c>
      <c r="E214" s="7" t="s">
        <v>62</v>
      </c>
      <c r="F214" s="7" t="s">
        <v>2399</v>
      </c>
      <c r="G214" s="7" t="s">
        <v>2305</v>
      </c>
      <c r="H214" s="7" t="s">
        <v>2452</v>
      </c>
      <c r="I214" s="7" t="s">
        <v>2988</v>
      </c>
      <c r="J214" s="7">
        <v>2</v>
      </c>
      <c r="K214" s="7">
        <v>1</v>
      </c>
      <c r="L214" s="7">
        <v>3</v>
      </c>
      <c r="M214" s="7" t="s">
        <v>3089</v>
      </c>
      <c r="N214" s="7" t="s">
        <v>666</v>
      </c>
      <c r="O214" s="59" t="s">
        <v>2574</v>
      </c>
    </row>
    <row r="215" spans="1:15" ht="28.5" customHeight="1" x14ac:dyDescent="0.2">
      <c r="A215" s="11">
        <v>214</v>
      </c>
      <c r="B215" s="12" t="s">
        <v>3090</v>
      </c>
      <c r="C215" s="12" t="s">
        <v>3091</v>
      </c>
      <c r="D215" s="13" t="s">
        <v>2370</v>
      </c>
      <c r="E215" s="12" t="s">
        <v>2329</v>
      </c>
      <c r="F215" s="12" t="s">
        <v>2304</v>
      </c>
      <c r="G215" s="12" t="s">
        <v>2305</v>
      </c>
      <c r="H215" s="12" t="s">
        <v>2452</v>
      </c>
      <c r="I215" s="12" t="s">
        <v>3092</v>
      </c>
      <c r="J215" s="12">
        <v>5</v>
      </c>
      <c r="K215" s="12">
        <v>5</v>
      </c>
      <c r="L215" s="12">
        <v>5</v>
      </c>
      <c r="M215" s="12" t="s">
        <v>3093</v>
      </c>
      <c r="N215" s="12" t="s">
        <v>666</v>
      </c>
      <c r="O215" s="60" t="s">
        <v>2574</v>
      </c>
    </row>
    <row r="216" spans="1:15" ht="28.5" customHeight="1" x14ac:dyDescent="0.2">
      <c r="A216" s="6">
        <v>215</v>
      </c>
      <c r="B216" s="7" t="s">
        <v>3094</v>
      </c>
      <c r="C216" s="7" t="s">
        <v>3095</v>
      </c>
      <c r="D216" s="8" t="s">
        <v>2390</v>
      </c>
      <c r="E216" s="7" t="s">
        <v>158</v>
      </c>
      <c r="F216" s="7" t="s">
        <v>2399</v>
      </c>
      <c r="G216" s="7" t="s">
        <v>2305</v>
      </c>
      <c r="H216" s="7" t="s">
        <v>2400</v>
      </c>
      <c r="I216" s="7" t="s">
        <v>3096</v>
      </c>
      <c r="J216" s="7">
        <v>1</v>
      </c>
      <c r="K216" s="7">
        <v>2</v>
      </c>
      <c r="L216" s="7">
        <v>2</v>
      </c>
      <c r="M216" s="7" t="s">
        <v>3097</v>
      </c>
      <c r="N216" s="7" t="s">
        <v>666</v>
      </c>
      <c r="O216" s="59" t="s">
        <v>2574</v>
      </c>
    </row>
    <row r="217" spans="1:15" ht="28.5" customHeight="1" x14ac:dyDescent="0.2">
      <c r="A217" s="11">
        <v>216</v>
      </c>
      <c r="B217" s="12" t="s">
        <v>3098</v>
      </c>
      <c r="C217" s="12" t="s">
        <v>3099</v>
      </c>
      <c r="D217" s="13" t="s">
        <v>2303</v>
      </c>
      <c r="E217" s="12" t="s">
        <v>62</v>
      </c>
      <c r="F217" s="12" t="s">
        <v>2399</v>
      </c>
      <c r="G217" s="12" t="s">
        <v>2305</v>
      </c>
      <c r="H217" s="12" t="s">
        <v>3100</v>
      </c>
      <c r="I217" s="12" t="s">
        <v>3101</v>
      </c>
      <c r="J217" s="12">
        <v>6</v>
      </c>
      <c r="K217" s="12">
        <v>5</v>
      </c>
      <c r="L217" s="12">
        <v>5</v>
      </c>
      <c r="M217" s="12" t="s">
        <v>3102</v>
      </c>
      <c r="N217" s="12" t="s">
        <v>666</v>
      </c>
      <c r="O217" s="60" t="s">
        <v>2600</v>
      </c>
    </row>
    <row r="218" spans="1:15" ht="28.5" customHeight="1" x14ac:dyDescent="0.2">
      <c r="A218" s="6">
        <v>217</v>
      </c>
      <c r="B218" s="7" t="s">
        <v>3103</v>
      </c>
      <c r="C218" s="7" t="s">
        <v>3104</v>
      </c>
      <c r="D218" s="8" t="s">
        <v>2337</v>
      </c>
      <c r="E218" s="7" t="s">
        <v>531</v>
      </c>
      <c r="F218" s="7" t="s">
        <v>2399</v>
      </c>
      <c r="G218" s="7" t="s">
        <v>2305</v>
      </c>
      <c r="H218" s="7" t="s">
        <v>2304</v>
      </c>
      <c r="I218" s="7" t="s">
        <v>3105</v>
      </c>
      <c r="J218" s="7">
        <v>5</v>
      </c>
      <c r="K218" s="7">
        <v>4</v>
      </c>
      <c r="L218" s="7">
        <v>7</v>
      </c>
      <c r="M218" s="7" t="s">
        <v>3106</v>
      </c>
      <c r="N218" s="7" t="s">
        <v>666</v>
      </c>
      <c r="O218" s="59" t="s">
        <v>2600</v>
      </c>
    </row>
    <row r="219" spans="1:15" ht="28.5" customHeight="1" x14ac:dyDescent="0.2">
      <c r="A219" s="11">
        <v>218</v>
      </c>
      <c r="B219" s="12" t="s">
        <v>3107</v>
      </c>
      <c r="C219" s="12" t="s">
        <v>3108</v>
      </c>
      <c r="D219" s="13" t="s">
        <v>2353</v>
      </c>
      <c r="E219" s="12" t="s">
        <v>130</v>
      </c>
      <c r="F219" s="12" t="s">
        <v>52</v>
      </c>
      <c r="G219" s="12" t="s">
        <v>2305</v>
      </c>
      <c r="H219" s="12" t="s">
        <v>2304</v>
      </c>
      <c r="I219" s="12" t="s">
        <v>3109</v>
      </c>
      <c r="J219" s="12">
        <v>6</v>
      </c>
      <c r="K219" s="12">
        <v>3</v>
      </c>
      <c r="L219" s="12">
        <v>4</v>
      </c>
      <c r="M219" s="12" t="s">
        <v>3110</v>
      </c>
      <c r="N219" s="12" t="s">
        <v>666</v>
      </c>
      <c r="O219" s="60" t="s">
        <v>2600</v>
      </c>
    </row>
    <row r="220" spans="1:15" ht="28.5" customHeight="1" x14ac:dyDescent="0.2">
      <c r="A220" s="6">
        <v>219</v>
      </c>
      <c r="B220" s="7" t="s">
        <v>3111</v>
      </c>
      <c r="C220" s="7" t="s">
        <v>3112</v>
      </c>
      <c r="D220" s="8" t="s">
        <v>2370</v>
      </c>
      <c r="E220" s="7" t="s">
        <v>62</v>
      </c>
      <c r="F220" s="7" t="s">
        <v>2399</v>
      </c>
      <c r="G220" s="7" t="s">
        <v>2305</v>
      </c>
      <c r="H220" s="7" t="s">
        <v>2304</v>
      </c>
      <c r="I220" s="7" t="s">
        <v>3113</v>
      </c>
      <c r="J220" s="7">
        <v>3</v>
      </c>
      <c r="K220" s="7">
        <v>1</v>
      </c>
      <c r="L220" s="7">
        <v>3</v>
      </c>
      <c r="M220" s="7" t="s">
        <v>3114</v>
      </c>
      <c r="N220" s="7" t="s">
        <v>666</v>
      </c>
      <c r="O220" s="59" t="s">
        <v>2600</v>
      </c>
    </row>
    <row r="221" spans="1:15" ht="28.5" customHeight="1" x14ac:dyDescent="0.2">
      <c r="A221" s="11">
        <v>220</v>
      </c>
      <c r="B221" s="12" t="s">
        <v>3115</v>
      </c>
      <c r="C221" s="12" t="s">
        <v>3116</v>
      </c>
      <c r="D221" s="13" t="s">
        <v>2390</v>
      </c>
      <c r="E221" s="12" t="s">
        <v>43</v>
      </c>
      <c r="F221" s="12" t="s">
        <v>2399</v>
      </c>
      <c r="G221" s="12" t="s">
        <v>2305</v>
      </c>
      <c r="H221" s="12" t="s">
        <v>2400</v>
      </c>
      <c r="I221" s="12" t="s">
        <v>3117</v>
      </c>
      <c r="J221" s="12">
        <v>5</v>
      </c>
      <c r="K221" s="12">
        <v>4</v>
      </c>
      <c r="L221" s="12">
        <v>5</v>
      </c>
      <c r="M221" s="12" t="s">
        <v>3118</v>
      </c>
      <c r="N221" s="12" t="s">
        <v>666</v>
      </c>
      <c r="O221" s="60" t="s">
        <v>2600</v>
      </c>
    </row>
    <row r="222" spans="1:15" ht="28.5" customHeight="1" x14ac:dyDescent="0.2">
      <c r="A222" s="6">
        <v>221</v>
      </c>
      <c r="B222" s="7" t="s">
        <v>3119</v>
      </c>
      <c r="C222" s="7" t="s">
        <v>3120</v>
      </c>
      <c r="D222" s="8" t="s">
        <v>2303</v>
      </c>
      <c r="E222" s="7" t="s">
        <v>158</v>
      </c>
      <c r="F222" s="7" t="s">
        <v>2304</v>
      </c>
      <c r="G222" s="7" t="s">
        <v>2305</v>
      </c>
      <c r="H222" s="7" t="s">
        <v>2304</v>
      </c>
      <c r="I222" s="7" t="s">
        <v>3121</v>
      </c>
      <c r="J222" s="7">
        <v>1</v>
      </c>
      <c r="K222" s="7">
        <v>1</v>
      </c>
      <c r="L222" s="7">
        <v>1</v>
      </c>
      <c r="M222" s="7" t="s">
        <v>3122</v>
      </c>
      <c r="N222" s="7" t="s">
        <v>3123</v>
      </c>
      <c r="O222" s="59" t="s">
        <v>2306</v>
      </c>
    </row>
    <row r="223" spans="1:15" ht="28.5" customHeight="1" x14ac:dyDescent="0.2">
      <c r="A223" s="11">
        <v>222</v>
      </c>
      <c r="B223" s="12" t="s">
        <v>3124</v>
      </c>
      <c r="C223" s="12" t="s">
        <v>3125</v>
      </c>
      <c r="D223" s="13" t="s">
        <v>2303</v>
      </c>
      <c r="E223" s="12" t="s">
        <v>43</v>
      </c>
      <c r="F223" s="12" t="s">
        <v>2304</v>
      </c>
      <c r="G223" s="12" t="s">
        <v>2305</v>
      </c>
      <c r="H223" s="12" t="s">
        <v>2304</v>
      </c>
      <c r="I223" s="12" t="s">
        <v>3126</v>
      </c>
      <c r="J223" s="12">
        <v>2</v>
      </c>
      <c r="K223" s="12">
        <v>1</v>
      </c>
      <c r="L223" s="12">
        <v>2</v>
      </c>
      <c r="M223" s="12" t="s">
        <v>3127</v>
      </c>
      <c r="N223" s="12" t="s">
        <v>3123</v>
      </c>
      <c r="O223" s="60" t="s">
        <v>2306</v>
      </c>
    </row>
    <row r="224" spans="1:15" ht="28.5" customHeight="1" x14ac:dyDescent="0.2">
      <c r="A224" s="6">
        <v>223</v>
      </c>
      <c r="B224" s="7" t="s">
        <v>3128</v>
      </c>
      <c r="C224" s="7" t="s">
        <v>3128</v>
      </c>
      <c r="D224" s="8" t="s">
        <v>2303</v>
      </c>
      <c r="E224" s="7" t="s">
        <v>2549</v>
      </c>
      <c r="F224" s="7" t="s">
        <v>2304</v>
      </c>
      <c r="G224" s="7" t="s">
        <v>2305</v>
      </c>
      <c r="H224" s="7" t="s">
        <v>2304</v>
      </c>
      <c r="I224" s="7" t="s">
        <v>3129</v>
      </c>
      <c r="J224" s="7">
        <v>4</v>
      </c>
      <c r="K224" s="7">
        <v>4</v>
      </c>
      <c r="L224" s="7">
        <v>4</v>
      </c>
      <c r="M224" s="7" t="s">
        <v>3130</v>
      </c>
      <c r="N224" s="7" t="s">
        <v>3123</v>
      </c>
      <c r="O224" s="59" t="s">
        <v>2306</v>
      </c>
    </row>
    <row r="225" spans="1:15" ht="28.5" customHeight="1" x14ac:dyDescent="0.2">
      <c r="A225" s="11">
        <v>224</v>
      </c>
      <c r="B225" s="12" t="s">
        <v>3131</v>
      </c>
      <c r="C225" s="12" t="s">
        <v>3132</v>
      </c>
      <c r="D225" s="13" t="s">
        <v>2303</v>
      </c>
      <c r="E225" s="12" t="s">
        <v>2315</v>
      </c>
      <c r="F225" s="12" t="s">
        <v>2304</v>
      </c>
      <c r="G225" s="12" t="s">
        <v>2305</v>
      </c>
      <c r="H225" s="12" t="s">
        <v>2304</v>
      </c>
      <c r="I225" s="12" t="s">
        <v>3133</v>
      </c>
      <c r="J225" s="12">
        <v>5</v>
      </c>
      <c r="K225" s="12">
        <v>1</v>
      </c>
      <c r="L225" s="12">
        <v>5</v>
      </c>
      <c r="M225" s="12" t="s">
        <v>3134</v>
      </c>
      <c r="N225" s="12" t="s">
        <v>3123</v>
      </c>
      <c r="O225" s="60" t="s">
        <v>2306</v>
      </c>
    </row>
    <row r="226" spans="1:15" ht="28.5" customHeight="1" x14ac:dyDescent="0.2">
      <c r="A226" s="6">
        <v>225</v>
      </c>
      <c r="B226" s="7" t="s">
        <v>3135</v>
      </c>
      <c r="C226" s="30" t="s">
        <v>3136</v>
      </c>
      <c r="D226" s="8" t="s">
        <v>2337</v>
      </c>
      <c r="E226" s="7" t="s">
        <v>684</v>
      </c>
      <c r="F226" s="7" t="s">
        <v>2304</v>
      </c>
      <c r="G226" s="7" t="s">
        <v>2305</v>
      </c>
      <c r="H226" s="7" t="s">
        <v>2304</v>
      </c>
      <c r="I226" s="7" t="s">
        <v>3137</v>
      </c>
      <c r="J226" s="7">
        <v>1</v>
      </c>
      <c r="K226" s="7">
        <v>4</v>
      </c>
      <c r="L226" s="7">
        <v>2</v>
      </c>
      <c r="M226" s="7" t="s">
        <v>3138</v>
      </c>
      <c r="N226" s="7" t="s">
        <v>3123</v>
      </c>
      <c r="O226" s="59" t="s">
        <v>2306</v>
      </c>
    </row>
    <row r="227" spans="1:15" ht="28.5" customHeight="1" x14ac:dyDescent="0.2">
      <c r="A227" s="11">
        <v>226</v>
      </c>
      <c r="B227" s="12" t="s">
        <v>3139</v>
      </c>
      <c r="C227" s="12" t="s">
        <v>363</v>
      </c>
      <c r="D227" s="13" t="s">
        <v>2337</v>
      </c>
      <c r="E227" s="12" t="s">
        <v>2329</v>
      </c>
      <c r="F227" s="12" t="s">
        <v>2304</v>
      </c>
      <c r="G227" s="12" t="s">
        <v>2305</v>
      </c>
      <c r="H227" s="12" t="s">
        <v>2339</v>
      </c>
      <c r="I227" s="12" t="s">
        <v>3140</v>
      </c>
      <c r="J227" s="12">
        <v>2</v>
      </c>
      <c r="K227" s="12">
        <v>0</v>
      </c>
      <c r="L227" s="12">
        <v>2</v>
      </c>
      <c r="M227" s="12" t="s">
        <v>3141</v>
      </c>
      <c r="N227" s="12" t="s">
        <v>3123</v>
      </c>
      <c r="O227" s="60" t="s">
        <v>2306</v>
      </c>
    </row>
    <row r="228" spans="1:15" ht="28.5" customHeight="1" x14ac:dyDescent="0.2">
      <c r="A228" s="6">
        <v>227</v>
      </c>
      <c r="B228" s="7" t="s">
        <v>3142</v>
      </c>
      <c r="C228" s="7" t="s">
        <v>594</v>
      </c>
      <c r="D228" s="8" t="s">
        <v>2337</v>
      </c>
      <c r="E228" s="7" t="s">
        <v>684</v>
      </c>
      <c r="F228" s="7" t="s">
        <v>2304</v>
      </c>
      <c r="G228" s="7" t="s">
        <v>2305</v>
      </c>
      <c r="H228" s="7" t="s">
        <v>2426</v>
      </c>
      <c r="I228" s="7" t="s">
        <v>3143</v>
      </c>
      <c r="J228" s="7">
        <v>3</v>
      </c>
      <c r="K228" s="7">
        <v>2</v>
      </c>
      <c r="L228" s="7">
        <v>3</v>
      </c>
      <c r="M228" s="7" t="s">
        <v>3144</v>
      </c>
      <c r="N228" s="7" t="s">
        <v>3123</v>
      </c>
      <c r="O228" s="59" t="s">
        <v>2306</v>
      </c>
    </row>
    <row r="229" spans="1:15" ht="28.5" customHeight="1" x14ac:dyDescent="0.2">
      <c r="A229" s="11">
        <v>228</v>
      </c>
      <c r="B229" s="12" t="s">
        <v>3145</v>
      </c>
      <c r="C229" s="12" t="s">
        <v>3146</v>
      </c>
      <c r="D229" s="13" t="s">
        <v>2337</v>
      </c>
      <c r="E229" s="12" t="s">
        <v>130</v>
      </c>
      <c r="F229" s="12" t="s">
        <v>2304</v>
      </c>
      <c r="G229" s="12" t="s">
        <v>2305</v>
      </c>
      <c r="H229" s="12" t="s">
        <v>2304</v>
      </c>
      <c r="I229" s="12" t="s">
        <v>3147</v>
      </c>
      <c r="J229" s="12">
        <v>3</v>
      </c>
      <c r="K229" s="12">
        <v>1</v>
      </c>
      <c r="L229" s="12">
        <v>1</v>
      </c>
      <c r="M229" s="12" t="s">
        <v>3148</v>
      </c>
      <c r="N229" s="12" t="s">
        <v>3123</v>
      </c>
      <c r="O229" s="60" t="s">
        <v>2306</v>
      </c>
    </row>
    <row r="230" spans="1:15" ht="28.5" customHeight="1" x14ac:dyDescent="0.2">
      <c r="A230" s="6">
        <v>229</v>
      </c>
      <c r="B230" s="7" t="s">
        <v>569</v>
      </c>
      <c r="C230" s="7" t="s">
        <v>570</v>
      </c>
      <c r="D230" s="8" t="s">
        <v>2337</v>
      </c>
      <c r="E230" s="7" t="s">
        <v>2329</v>
      </c>
      <c r="F230" s="7" t="s">
        <v>2399</v>
      </c>
      <c r="G230" s="7" t="s">
        <v>2305</v>
      </c>
      <c r="H230" s="7" t="s">
        <v>2304</v>
      </c>
      <c r="I230" s="7" t="s">
        <v>3149</v>
      </c>
      <c r="J230" s="7">
        <v>6</v>
      </c>
      <c r="K230" s="7">
        <v>4</v>
      </c>
      <c r="L230" s="7">
        <v>4</v>
      </c>
      <c r="M230" s="7" t="s">
        <v>3150</v>
      </c>
      <c r="N230" s="7" t="s">
        <v>3123</v>
      </c>
      <c r="O230" s="59" t="s">
        <v>2306</v>
      </c>
    </row>
    <row r="231" spans="1:15" ht="28.5" customHeight="1" x14ac:dyDescent="0.2">
      <c r="A231" s="11">
        <v>230</v>
      </c>
      <c r="B231" s="12" t="s">
        <v>3151</v>
      </c>
      <c r="C231" s="12" t="s">
        <v>3152</v>
      </c>
      <c r="D231" s="13" t="s">
        <v>2353</v>
      </c>
      <c r="E231" s="12" t="s">
        <v>43</v>
      </c>
      <c r="F231" s="12" t="s">
        <v>52</v>
      </c>
      <c r="G231" s="12" t="s">
        <v>2305</v>
      </c>
      <c r="H231" s="12" t="s">
        <v>2304</v>
      </c>
      <c r="I231" s="12" t="s">
        <v>3153</v>
      </c>
      <c r="J231" s="12">
        <v>1</v>
      </c>
      <c r="K231" s="12">
        <v>2</v>
      </c>
      <c r="L231" s="12">
        <v>1</v>
      </c>
      <c r="M231" s="12" t="s">
        <v>3154</v>
      </c>
      <c r="N231" s="12" t="s">
        <v>3123</v>
      </c>
      <c r="O231" s="60" t="s">
        <v>2306</v>
      </c>
    </row>
    <row r="232" spans="1:15" ht="28.5" customHeight="1" x14ac:dyDescent="0.2">
      <c r="A232" s="6">
        <v>231</v>
      </c>
      <c r="B232" s="7" t="s">
        <v>415</v>
      </c>
      <c r="C232" s="7" t="s">
        <v>416</v>
      </c>
      <c r="D232" s="8" t="s">
        <v>2353</v>
      </c>
      <c r="E232" s="7" t="s">
        <v>62</v>
      </c>
      <c r="F232" s="7" t="s">
        <v>2304</v>
      </c>
      <c r="G232" s="7" t="s">
        <v>2305</v>
      </c>
      <c r="H232" s="7" t="s">
        <v>2339</v>
      </c>
      <c r="I232" s="7" t="s">
        <v>3155</v>
      </c>
      <c r="J232" s="7">
        <v>1</v>
      </c>
      <c r="K232" s="7">
        <v>1</v>
      </c>
      <c r="L232" s="7">
        <v>5</v>
      </c>
      <c r="M232" s="7" t="s">
        <v>3156</v>
      </c>
      <c r="N232" s="7" t="s">
        <v>3123</v>
      </c>
      <c r="O232" s="59" t="s">
        <v>2306</v>
      </c>
    </row>
    <row r="233" spans="1:15" ht="28.5" customHeight="1" x14ac:dyDescent="0.2">
      <c r="A233" s="11">
        <v>232</v>
      </c>
      <c r="B233" s="12" t="s">
        <v>3157</v>
      </c>
      <c r="C233" s="12" t="s">
        <v>3158</v>
      </c>
      <c r="D233" s="13" t="s">
        <v>2353</v>
      </c>
      <c r="E233" s="12" t="s">
        <v>2577</v>
      </c>
      <c r="F233" s="12" t="s">
        <v>2399</v>
      </c>
      <c r="G233" s="12" t="s">
        <v>2305</v>
      </c>
      <c r="H233" s="12" t="s">
        <v>3159</v>
      </c>
      <c r="I233" s="12" t="s">
        <v>2304</v>
      </c>
      <c r="J233" s="12">
        <v>2</v>
      </c>
      <c r="K233" s="12">
        <v>3</v>
      </c>
      <c r="L233" s="12">
        <v>2</v>
      </c>
      <c r="M233" s="12" t="s">
        <v>3160</v>
      </c>
      <c r="N233" s="12" t="s">
        <v>3123</v>
      </c>
      <c r="O233" s="60" t="s">
        <v>2306</v>
      </c>
    </row>
    <row r="234" spans="1:15" ht="28.5" customHeight="1" x14ac:dyDescent="0.2">
      <c r="A234" s="6">
        <v>233</v>
      </c>
      <c r="B234" s="7" t="s">
        <v>837</v>
      </c>
      <c r="C234" s="7" t="s">
        <v>3161</v>
      </c>
      <c r="D234" s="8" t="s">
        <v>2353</v>
      </c>
      <c r="E234" s="7" t="s">
        <v>130</v>
      </c>
      <c r="F234" s="7" t="s">
        <v>2304</v>
      </c>
      <c r="G234" s="7" t="s">
        <v>2305</v>
      </c>
      <c r="H234" s="7" t="s">
        <v>2304</v>
      </c>
      <c r="I234" s="7" t="s">
        <v>3162</v>
      </c>
      <c r="J234" s="7">
        <v>2</v>
      </c>
      <c r="K234" s="7">
        <v>0</v>
      </c>
      <c r="L234" s="7">
        <v>1</v>
      </c>
      <c r="M234" s="7" t="s">
        <v>3163</v>
      </c>
      <c r="N234" s="7" t="s">
        <v>3123</v>
      </c>
      <c r="O234" s="59" t="s">
        <v>2306</v>
      </c>
    </row>
    <row r="235" spans="1:15" ht="28.5" customHeight="1" x14ac:dyDescent="0.2">
      <c r="A235" s="11">
        <v>234</v>
      </c>
      <c r="B235" s="12" t="s">
        <v>3164</v>
      </c>
      <c r="C235" s="12" t="s">
        <v>3165</v>
      </c>
      <c r="D235" s="13" t="s">
        <v>2353</v>
      </c>
      <c r="E235" s="12" t="s">
        <v>52</v>
      </c>
      <c r="F235" s="12" t="s">
        <v>2304</v>
      </c>
      <c r="G235" s="12" t="s">
        <v>2305</v>
      </c>
      <c r="H235" s="12" t="s">
        <v>2304</v>
      </c>
      <c r="I235" s="12" t="s">
        <v>3166</v>
      </c>
      <c r="J235" s="12">
        <v>3</v>
      </c>
      <c r="K235" s="12">
        <v>0</v>
      </c>
      <c r="L235" s="12">
        <v>4</v>
      </c>
      <c r="M235" s="12" t="s">
        <v>3167</v>
      </c>
      <c r="N235" s="12" t="s">
        <v>3123</v>
      </c>
      <c r="O235" s="60" t="s">
        <v>2306</v>
      </c>
    </row>
    <row r="236" spans="1:15" ht="28.5" customHeight="1" x14ac:dyDescent="0.2">
      <c r="A236" s="6">
        <v>235</v>
      </c>
      <c r="B236" s="7" t="s">
        <v>3168</v>
      </c>
      <c r="C236" s="7" t="s">
        <v>3169</v>
      </c>
      <c r="D236" s="8" t="s">
        <v>2353</v>
      </c>
      <c r="E236" s="7" t="s">
        <v>130</v>
      </c>
      <c r="F236" s="7" t="s">
        <v>2399</v>
      </c>
      <c r="G236" s="7" t="s">
        <v>2305</v>
      </c>
      <c r="H236" s="7" t="s">
        <v>2400</v>
      </c>
      <c r="I236" s="7" t="s">
        <v>3166</v>
      </c>
      <c r="J236" s="7">
        <v>3</v>
      </c>
      <c r="K236" s="7">
        <v>1</v>
      </c>
      <c r="L236" s="7">
        <v>1</v>
      </c>
      <c r="M236" s="7" t="s">
        <v>3170</v>
      </c>
      <c r="N236" s="7" t="s">
        <v>3123</v>
      </c>
      <c r="O236" s="59" t="s">
        <v>2306</v>
      </c>
    </row>
    <row r="237" spans="1:15" ht="28.5" customHeight="1" x14ac:dyDescent="0.2">
      <c r="A237" s="11">
        <v>236</v>
      </c>
      <c r="B237" s="12" t="s">
        <v>3171</v>
      </c>
      <c r="C237" s="12" t="s">
        <v>3172</v>
      </c>
      <c r="D237" s="13" t="s">
        <v>2353</v>
      </c>
      <c r="E237" s="12" t="s">
        <v>2315</v>
      </c>
      <c r="F237" s="12" t="s">
        <v>3016</v>
      </c>
      <c r="G237" s="12" t="s">
        <v>2320</v>
      </c>
      <c r="H237" s="12" t="s">
        <v>2304</v>
      </c>
      <c r="I237" s="12" t="s">
        <v>3173</v>
      </c>
      <c r="J237" s="12">
        <v>3</v>
      </c>
      <c r="K237" s="12"/>
      <c r="L237" s="12"/>
      <c r="M237" s="12" t="s">
        <v>3174</v>
      </c>
      <c r="N237" s="12" t="s">
        <v>3123</v>
      </c>
      <c r="O237" s="60" t="s">
        <v>2306</v>
      </c>
    </row>
    <row r="238" spans="1:15" ht="28.5" customHeight="1" x14ac:dyDescent="0.2">
      <c r="A238" s="6">
        <v>237</v>
      </c>
      <c r="B238" s="7" t="s">
        <v>280</v>
      </c>
      <c r="C238" s="7" t="s">
        <v>281</v>
      </c>
      <c r="D238" s="8" t="s">
        <v>2353</v>
      </c>
      <c r="E238" s="7" t="s">
        <v>43</v>
      </c>
      <c r="F238" s="7" t="s">
        <v>2304</v>
      </c>
      <c r="G238" s="7" t="s">
        <v>2305</v>
      </c>
      <c r="H238" s="7" t="s">
        <v>2339</v>
      </c>
      <c r="I238" s="7" t="s">
        <v>3175</v>
      </c>
      <c r="J238" s="7">
        <v>4</v>
      </c>
      <c r="K238" s="7">
        <v>2</v>
      </c>
      <c r="L238" s="7">
        <v>7</v>
      </c>
      <c r="M238" s="7" t="s">
        <v>3176</v>
      </c>
      <c r="N238" s="7" t="s">
        <v>3123</v>
      </c>
      <c r="O238" s="59" t="s">
        <v>2306</v>
      </c>
    </row>
    <row r="239" spans="1:15" ht="28.5" customHeight="1" x14ac:dyDescent="0.2">
      <c r="A239" s="11">
        <v>238</v>
      </c>
      <c r="B239" s="12" t="s">
        <v>812</v>
      </c>
      <c r="C239" s="12" t="s">
        <v>3177</v>
      </c>
      <c r="D239" s="13" t="s">
        <v>2370</v>
      </c>
      <c r="E239" s="12" t="s">
        <v>43</v>
      </c>
      <c r="F239" s="12" t="s">
        <v>2304</v>
      </c>
      <c r="G239" s="12" t="s">
        <v>2305</v>
      </c>
      <c r="H239" s="12" t="s">
        <v>2304</v>
      </c>
      <c r="I239" s="12" t="s">
        <v>3178</v>
      </c>
      <c r="J239" s="12">
        <v>1</v>
      </c>
      <c r="K239" s="12">
        <v>2</v>
      </c>
      <c r="L239" s="12">
        <v>2</v>
      </c>
      <c r="M239" s="12" t="s">
        <v>3179</v>
      </c>
      <c r="N239" s="12" t="s">
        <v>3123</v>
      </c>
      <c r="O239" s="60" t="s">
        <v>2306</v>
      </c>
    </row>
    <row r="240" spans="1:15" ht="28.5" customHeight="1" x14ac:dyDescent="0.2">
      <c r="A240" s="6">
        <v>239</v>
      </c>
      <c r="B240" s="7" t="s">
        <v>3180</v>
      </c>
      <c r="C240" s="7" t="s">
        <v>773</v>
      </c>
      <c r="D240" s="8" t="s">
        <v>2370</v>
      </c>
      <c r="E240" s="7" t="s">
        <v>187</v>
      </c>
      <c r="F240" s="7" t="s">
        <v>2304</v>
      </c>
      <c r="G240" s="7" t="s">
        <v>2305</v>
      </c>
      <c r="H240" s="7" t="s">
        <v>2304</v>
      </c>
      <c r="I240" s="7" t="s">
        <v>3181</v>
      </c>
      <c r="J240" s="7">
        <v>1</v>
      </c>
      <c r="K240" s="7">
        <v>1</v>
      </c>
      <c r="L240" s="7">
        <v>1</v>
      </c>
      <c r="M240" s="7" t="s">
        <v>3182</v>
      </c>
      <c r="N240" s="7" t="s">
        <v>3123</v>
      </c>
      <c r="O240" s="59" t="s">
        <v>2306</v>
      </c>
    </row>
    <row r="241" spans="1:15" ht="28.5" customHeight="1" x14ac:dyDescent="0.2">
      <c r="A241" s="11">
        <v>240</v>
      </c>
      <c r="B241" s="12" t="s">
        <v>3183</v>
      </c>
      <c r="C241" s="12" t="s">
        <v>3184</v>
      </c>
      <c r="D241" s="13" t="s">
        <v>2370</v>
      </c>
      <c r="E241" s="12" t="s">
        <v>43</v>
      </c>
      <c r="F241" s="12" t="s">
        <v>2304</v>
      </c>
      <c r="G241" s="12" t="s">
        <v>2305</v>
      </c>
      <c r="H241" s="12" t="s">
        <v>2304</v>
      </c>
      <c r="I241" s="12" t="s">
        <v>3185</v>
      </c>
      <c r="J241" s="12">
        <v>4</v>
      </c>
      <c r="K241" s="12">
        <v>3</v>
      </c>
      <c r="L241" s="12">
        <v>1</v>
      </c>
      <c r="M241" s="12" t="s">
        <v>3186</v>
      </c>
      <c r="N241" s="12" t="s">
        <v>3123</v>
      </c>
      <c r="O241" s="60" t="s">
        <v>2306</v>
      </c>
    </row>
    <row r="242" spans="1:15" ht="28.5" customHeight="1" x14ac:dyDescent="0.2">
      <c r="A242" s="6">
        <v>241</v>
      </c>
      <c r="B242" s="7" t="s">
        <v>3187</v>
      </c>
      <c r="C242" s="7" t="s">
        <v>3188</v>
      </c>
      <c r="D242" s="8" t="s">
        <v>2370</v>
      </c>
      <c r="E242" s="7" t="s">
        <v>2315</v>
      </c>
      <c r="F242" s="7" t="s">
        <v>130</v>
      </c>
      <c r="G242" s="7" t="s">
        <v>2305</v>
      </c>
      <c r="H242" s="7" t="s">
        <v>2304</v>
      </c>
      <c r="I242" s="7" t="s">
        <v>3189</v>
      </c>
      <c r="J242" s="7">
        <v>4</v>
      </c>
      <c r="K242" s="7">
        <v>4</v>
      </c>
      <c r="L242" s="7">
        <v>7</v>
      </c>
      <c r="M242" s="7" t="s">
        <v>3190</v>
      </c>
      <c r="N242" s="7" t="s">
        <v>3123</v>
      </c>
      <c r="O242" s="59" t="s">
        <v>2306</v>
      </c>
    </row>
    <row r="243" spans="1:15" ht="28.5" customHeight="1" x14ac:dyDescent="0.2">
      <c r="A243" s="11">
        <v>242</v>
      </c>
      <c r="B243" s="12" t="s">
        <v>3191</v>
      </c>
      <c r="C243" s="12" t="s">
        <v>3192</v>
      </c>
      <c r="D243" s="13" t="s">
        <v>2370</v>
      </c>
      <c r="E243" s="12" t="s">
        <v>130</v>
      </c>
      <c r="F243" s="12" t="s">
        <v>2304</v>
      </c>
      <c r="G243" s="12" t="s">
        <v>2305</v>
      </c>
      <c r="H243" s="12" t="s">
        <v>2304</v>
      </c>
      <c r="I243" s="12" t="s">
        <v>3193</v>
      </c>
      <c r="J243" s="12">
        <v>5</v>
      </c>
      <c r="K243" s="12">
        <v>5</v>
      </c>
      <c r="L243" s="12">
        <v>2</v>
      </c>
      <c r="M243" s="12" t="s">
        <v>3194</v>
      </c>
      <c r="N243" s="12" t="s">
        <v>3123</v>
      </c>
      <c r="O243" s="60" t="s">
        <v>2306</v>
      </c>
    </row>
    <row r="244" spans="1:15" ht="28.5" customHeight="1" x14ac:dyDescent="0.2">
      <c r="A244" s="6">
        <v>243</v>
      </c>
      <c r="B244" s="7" t="s">
        <v>587</v>
      </c>
      <c r="C244" s="7" t="s">
        <v>588</v>
      </c>
      <c r="D244" s="8" t="s">
        <v>2370</v>
      </c>
      <c r="E244" s="7" t="s">
        <v>187</v>
      </c>
      <c r="F244" s="7" t="s">
        <v>2304</v>
      </c>
      <c r="G244" s="7" t="s">
        <v>2305</v>
      </c>
      <c r="H244" s="7" t="s">
        <v>2304</v>
      </c>
      <c r="I244" s="7" t="s">
        <v>3195</v>
      </c>
      <c r="J244" s="7">
        <v>5</v>
      </c>
      <c r="K244" s="7">
        <v>0</v>
      </c>
      <c r="L244" s="7">
        <v>5</v>
      </c>
      <c r="M244" s="7" t="s">
        <v>3196</v>
      </c>
      <c r="N244" s="7" t="s">
        <v>3123</v>
      </c>
      <c r="O244" s="59" t="s">
        <v>2306</v>
      </c>
    </row>
    <row r="245" spans="1:15" ht="28.5" customHeight="1" x14ac:dyDescent="0.2">
      <c r="A245" s="11">
        <v>244</v>
      </c>
      <c r="B245" s="12" t="s">
        <v>3197</v>
      </c>
      <c r="C245" s="12" t="s">
        <v>3198</v>
      </c>
      <c r="D245" s="13" t="s">
        <v>2390</v>
      </c>
      <c r="E245" s="12" t="s">
        <v>43</v>
      </c>
      <c r="F245" s="12" t="s">
        <v>62</v>
      </c>
      <c r="G245" s="12" t="s">
        <v>2305</v>
      </c>
      <c r="H245" s="12" t="s">
        <v>2400</v>
      </c>
      <c r="I245" s="12" t="s">
        <v>3199</v>
      </c>
      <c r="J245" s="12">
        <v>1</v>
      </c>
      <c r="K245" s="12">
        <v>2</v>
      </c>
      <c r="L245" s="12">
        <v>1</v>
      </c>
      <c r="M245" s="12" t="s">
        <v>3200</v>
      </c>
      <c r="N245" s="12" t="s">
        <v>3123</v>
      </c>
      <c r="O245" s="60" t="s">
        <v>2306</v>
      </c>
    </row>
    <row r="246" spans="1:15" ht="28.5" customHeight="1" x14ac:dyDescent="0.2">
      <c r="A246" s="6">
        <v>245</v>
      </c>
      <c r="B246" s="7" t="s">
        <v>3201</v>
      </c>
      <c r="C246" s="7" t="s">
        <v>3202</v>
      </c>
      <c r="D246" s="8" t="s">
        <v>2390</v>
      </c>
      <c r="E246" s="7" t="s">
        <v>43</v>
      </c>
      <c r="F246" s="7" t="s">
        <v>52</v>
      </c>
      <c r="G246" s="7" t="s">
        <v>2305</v>
      </c>
      <c r="H246" s="7" t="s">
        <v>2339</v>
      </c>
      <c r="I246" s="7" t="s">
        <v>3203</v>
      </c>
      <c r="J246" s="7">
        <v>3</v>
      </c>
      <c r="K246" s="7">
        <v>2</v>
      </c>
      <c r="L246" s="7">
        <v>2</v>
      </c>
      <c r="M246" s="7" t="s">
        <v>3204</v>
      </c>
      <c r="N246" s="7" t="s">
        <v>3123</v>
      </c>
      <c r="O246" s="59" t="s">
        <v>2306</v>
      </c>
    </row>
    <row r="247" spans="1:15" ht="28.5" customHeight="1" x14ac:dyDescent="0.2">
      <c r="A247" s="11">
        <v>246</v>
      </c>
      <c r="B247" s="12" t="s">
        <v>3205</v>
      </c>
      <c r="C247" s="12" t="s">
        <v>3206</v>
      </c>
      <c r="D247" s="13" t="s">
        <v>2390</v>
      </c>
      <c r="E247" s="12" t="s">
        <v>43</v>
      </c>
      <c r="F247" s="12" t="s">
        <v>2304</v>
      </c>
      <c r="G247" s="12" t="s">
        <v>2305</v>
      </c>
      <c r="H247" s="12" t="s">
        <v>2400</v>
      </c>
      <c r="I247" s="12" t="s">
        <v>3207</v>
      </c>
      <c r="J247" s="12">
        <v>3</v>
      </c>
      <c r="K247" s="12">
        <v>2</v>
      </c>
      <c r="L247" s="12">
        <v>3</v>
      </c>
      <c r="M247" s="12" t="s">
        <v>3208</v>
      </c>
      <c r="N247" s="12" t="s">
        <v>3123</v>
      </c>
      <c r="O247" s="60" t="s">
        <v>2306</v>
      </c>
    </row>
    <row r="248" spans="1:15" ht="28.5" customHeight="1" x14ac:dyDescent="0.2">
      <c r="A248" s="6">
        <v>247</v>
      </c>
      <c r="B248" s="7" t="s">
        <v>3209</v>
      </c>
      <c r="C248" s="7" t="s">
        <v>3210</v>
      </c>
      <c r="D248" s="8" t="s">
        <v>2390</v>
      </c>
      <c r="E248" s="7" t="s">
        <v>2329</v>
      </c>
      <c r="F248" s="7" t="s">
        <v>52</v>
      </c>
      <c r="G248" s="7" t="s">
        <v>2305</v>
      </c>
      <c r="H248" s="7" t="s">
        <v>2304</v>
      </c>
      <c r="I248" s="7" t="s">
        <v>3211</v>
      </c>
      <c r="J248" s="7">
        <v>3</v>
      </c>
      <c r="K248" s="7">
        <v>3</v>
      </c>
      <c r="L248" s="7">
        <v>3</v>
      </c>
      <c r="M248" s="7" t="s">
        <v>3212</v>
      </c>
      <c r="N248" s="7" t="s">
        <v>3123</v>
      </c>
      <c r="O248" s="59" t="s">
        <v>2306</v>
      </c>
    </row>
    <row r="249" spans="1:15" ht="28.5" customHeight="1" x14ac:dyDescent="0.2">
      <c r="A249" s="11">
        <v>248</v>
      </c>
      <c r="B249" s="12" t="s">
        <v>3213</v>
      </c>
      <c r="C249" s="12" t="s">
        <v>3214</v>
      </c>
      <c r="D249" s="13" t="s">
        <v>2390</v>
      </c>
      <c r="E249" s="12" t="s">
        <v>2315</v>
      </c>
      <c r="F249" s="12" t="s">
        <v>2399</v>
      </c>
      <c r="G249" s="12" t="s">
        <v>2305</v>
      </c>
      <c r="H249" s="12" t="s">
        <v>2400</v>
      </c>
      <c r="I249" s="12" t="s">
        <v>3215</v>
      </c>
      <c r="J249" s="12">
        <v>4</v>
      </c>
      <c r="K249" s="12">
        <v>4</v>
      </c>
      <c r="L249" s="12">
        <v>2</v>
      </c>
      <c r="M249" s="12" t="s">
        <v>3216</v>
      </c>
      <c r="N249" s="12" t="s">
        <v>3123</v>
      </c>
      <c r="O249" s="60" t="s">
        <v>2306</v>
      </c>
    </row>
    <row r="250" spans="1:15" ht="28.5" customHeight="1" x14ac:dyDescent="0.2">
      <c r="A250" s="6">
        <v>249</v>
      </c>
      <c r="B250" s="7" t="s">
        <v>641</v>
      </c>
      <c r="C250" s="7" t="s">
        <v>642</v>
      </c>
      <c r="D250" s="8" t="s">
        <v>2390</v>
      </c>
      <c r="E250" s="7" t="s">
        <v>43</v>
      </c>
      <c r="F250" s="7" t="s">
        <v>2304</v>
      </c>
      <c r="G250" s="7" t="s">
        <v>2305</v>
      </c>
      <c r="H250" s="7" t="s">
        <v>2304</v>
      </c>
      <c r="I250" s="7" t="s">
        <v>3217</v>
      </c>
      <c r="J250" s="7">
        <v>4</v>
      </c>
      <c r="K250" s="7">
        <v>0</v>
      </c>
      <c r="L250" s="7">
        <v>3</v>
      </c>
      <c r="M250" s="7" t="s">
        <v>3218</v>
      </c>
      <c r="N250" s="7" t="s">
        <v>3123</v>
      </c>
      <c r="O250" s="59" t="s">
        <v>2306</v>
      </c>
    </row>
    <row r="251" spans="1:15" ht="28.5" customHeight="1" x14ac:dyDescent="0.2">
      <c r="A251" s="11">
        <v>250</v>
      </c>
      <c r="B251" s="12" t="s">
        <v>3219</v>
      </c>
      <c r="C251" s="12" t="s">
        <v>3220</v>
      </c>
      <c r="D251" s="13" t="s">
        <v>2390</v>
      </c>
      <c r="E251" s="12" t="s">
        <v>2315</v>
      </c>
      <c r="F251" s="12" t="s">
        <v>187</v>
      </c>
      <c r="G251" s="12" t="s">
        <v>2305</v>
      </c>
      <c r="H251" s="12" t="s">
        <v>2400</v>
      </c>
      <c r="I251" s="12" t="s">
        <v>3221</v>
      </c>
      <c r="J251" s="12">
        <v>5</v>
      </c>
      <c r="K251" s="12">
        <v>4</v>
      </c>
      <c r="L251" s="12">
        <v>1</v>
      </c>
      <c r="M251" s="12" t="s">
        <v>3222</v>
      </c>
      <c r="N251" s="12" t="s">
        <v>3123</v>
      </c>
      <c r="O251" s="60" t="s">
        <v>2306</v>
      </c>
    </row>
    <row r="252" spans="1:15" ht="28.5" customHeight="1" x14ac:dyDescent="0.2">
      <c r="A252" s="6">
        <v>251</v>
      </c>
      <c r="B252" s="7" t="s">
        <v>3223</v>
      </c>
      <c r="C252" s="7" t="s">
        <v>735</v>
      </c>
      <c r="D252" s="8" t="s">
        <v>2390</v>
      </c>
      <c r="E252" s="7" t="s">
        <v>3016</v>
      </c>
      <c r="F252" s="7" t="s">
        <v>2309</v>
      </c>
      <c r="G252" s="7" t="s">
        <v>2305</v>
      </c>
      <c r="H252" s="7" t="s">
        <v>2304</v>
      </c>
      <c r="I252" s="7" t="s">
        <v>3224</v>
      </c>
      <c r="J252" s="7">
        <v>6</v>
      </c>
      <c r="K252" s="7">
        <v>5</v>
      </c>
      <c r="L252" s="7">
        <v>3</v>
      </c>
      <c r="M252" s="7" t="s">
        <v>3225</v>
      </c>
      <c r="N252" s="7" t="s">
        <v>3123</v>
      </c>
      <c r="O252" s="59" t="s">
        <v>2306</v>
      </c>
    </row>
    <row r="253" spans="1:15" ht="28.5" customHeight="1" x14ac:dyDescent="0.2">
      <c r="A253" s="11">
        <v>252</v>
      </c>
      <c r="B253" s="12" t="s">
        <v>3226</v>
      </c>
      <c r="C253" s="12" t="s">
        <v>3227</v>
      </c>
      <c r="D253" s="13" t="s">
        <v>2337</v>
      </c>
      <c r="E253" s="12" t="s">
        <v>130</v>
      </c>
      <c r="F253" s="12" t="s">
        <v>2304</v>
      </c>
      <c r="G253" s="12" t="s">
        <v>2305</v>
      </c>
      <c r="H253" s="12" t="s">
        <v>2304</v>
      </c>
      <c r="I253" s="12" t="s">
        <v>3228</v>
      </c>
      <c r="J253" s="12">
        <v>1</v>
      </c>
      <c r="K253" s="12">
        <v>0</v>
      </c>
      <c r="L253" s="12">
        <v>1</v>
      </c>
      <c r="M253" s="12" t="s">
        <v>3229</v>
      </c>
      <c r="N253" s="12" t="s">
        <v>3230</v>
      </c>
      <c r="O253" s="60" t="s">
        <v>2306</v>
      </c>
    </row>
    <row r="254" spans="1:15" ht="28.5" customHeight="1" x14ac:dyDescent="0.2">
      <c r="A254" s="6">
        <v>253</v>
      </c>
      <c r="B254" s="7" t="s">
        <v>3231</v>
      </c>
      <c r="C254" s="7" t="s">
        <v>3232</v>
      </c>
      <c r="D254" s="8" t="s">
        <v>2353</v>
      </c>
      <c r="E254" s="7" t="s">
        <v>62</v>
      </c>
      <c r="F254" s="7" t="s">
        <v>3233</v>
      </c>
      <c r="G254" s="7" t="s">
        <v>2305</v>
      </c>
      <c r="H254" s="7" t="s">
        <v>2304</v>
      </c>
      <c r="I254" s="7" t="s">
        <v>3234</v>
      </c>
      <c r="J254" s="7">
        <v>1</v>
      </c>
      <c r="K254" s="7">
        <v>2</v>
      </c>
      <c r="L254" s="7">
        <v>2</v>
      </c>
      <c r="M254" s="7" t="s">
        <v>3235</v>
      </c>
      <c r="N254" s="7" t="s">
        <v>3230</v>
      </c>
      <c r="O254" s="59" t="s">
        <v>2306</v>
      </c>
    </row>
    <row r="255" spans="1:15" ht="28.5" customHeight="1" x14ac:dyDescent="0.2">
      <c r="A255" s="11">
        <v>254</v>
      </c>
      <c r="B255" s="12" t="s">
        <v>3236</v>
      </c>
      <c r="C255" s="12" t="s">
        <v>3237</v>
      </c>
      <c r="D255" s="13" t="s">
        <v>2370</v>
      </c>
      <c r="E255" s="12" t="s">
        <v>62</v>
      </c>
      <c r="F255" s="12" t="s">
        <v>2304</v>
      </c>
      <c r="G255" s="12" t="s">
        <v>2305</v>
      </c>
      <c r="H255" s="12" t="s">
        <v>2339</v>
      </c>
      <c r="I255" s="12" t="s">
        <v>3238</v>
      </c>
      <c r="J255" s="12">
        <v>3</v>
      </c>
      <c r="K255" s="12">
        <v>0</v>
      </c>
      <c r="L255" s="12">
        <v>1</v>
      </c>
      <c r="M255" s="12" t="s">
        <v>3239</v>
      </c>
      <c r="N255" s="12" t="s">
        <v>3230</v>
      </c>
      <c r="O255" s="60" t="s">
        <v>2306</v>
      </c>
    </row>
    <row r="256" spans="1:15" ht="28.5" customHeight="1" x14ac:dyDescent="0.2">
      <c r="A256" s="6">
        <v>255</v>
      </c>
      <c r="B256" s="7" t="s">
        <v>3240</v>
      </c>
      <c r="C256" s="7" t="s">
        <v>3241</v>
      </c>
      <c r="D256" s="8" t="s">
        <v>2390</v>
      </c>
      <c r="E256" s="7" t="s">
        <v>158</v>
      </c>
      <c r="F256" s="7" t="s">
        <v>2304</v>
      </c>
      <c r="G256" s="7" t="s">
        <v>2305</v>
      </c>
      <c r="H256" s="7" t="s">
        <v>2304</v>
      </c>
      <c r="I256" s="7" t="s">
        <v>3242</v>
      </c>
      <c r="J256" s="7">
        <v>1</v>
      </c>
      <c r="K256" s="7">
        <v>4</v>
      </c>
      <c r="L256" s="7">
        <v>4</v>
      </c>
      <c r="M256" s="7" t="s">
        <v>3243</v>
      </c>
      <c r="N256" s="7" t="s">
        <v>3230</v>
      </c>
      <c r="O256" s="59" t="s">
        <v>2306</v>
      </c>
    </row>
    <row r="257" spans="1:15" ht="28.5" customHeight="1" x14ac:dyDescent="0.2">
      <c r="A257" s="11">
        <v>256</v>
      </c>
      <c r="B257" s="12" t="s">
        <v>3244</v>
      </c>
      <c r="C257" s="12" t="s">
        <v>3245</v>
      </c>
      <c r="D257" s="13" t="s">
        <v>2390</v>
      </c>
      <c r="E257" s="12" t="s">
        <v>2304</v>
      </c>
      <c r="F257" s="12" t="s">
        <v>2304</v>
      </c>
      <c r="G257" s="12" t="s">
        <v>2520</v>
      </c>
      <c r="H257" s="12" t="s">
        <v>2304</v>
      </c>
      <c r="I257" s="12" t="s">
        <v>3246</v>
      </c>
      <c r="J257" s="12">
        <v>4</v>
      </c>
      <c r="K257" s="12"/>
      <c r="L257" s="12"/>
      <c r="M257" s="12" t="s">
        <v>3247</v>
      </c>
      <c r="N257" s="12" t="s">
        <v>3230</v>
      </c>
      <c r="O257" s="60" t="s">
        <v>2306</v>
      </c>
    </row>
    <row r="258" spans="1:15" ht="28.5" customHeight="1" x14ac:dyDescent="0.2">
      <c r="A258" s="47">
        <v>257</v>
      </c>
      <c r="B258" s="55" t="s">
        <v>3227</v>
      </c>
      <c r="C258" s="55" t="s">
        <v>3248</v>
      </c>
      <c r="D258" s="61" t="s">
        <v>2390</v>
      </c>
      <c r="E258" s="55" t="s">
        <v>62</v>
      </c>
      <c r="F258" s="55" t="s">
        <v>3233</v>
      </c>
      <c r="G258" s="55" t="s">
        <v>2305</v>
      </c>
      <c r="H258" s="55" t="s">
        <v>2339</v>
      </c>
      <c r="I258" s="55" t="s">
        <v>3249</v>
      </c>
      <c r="J258" s="55">
        <v>1</v>
      </c>
      <c r="K258" s="55">
        <v>2</v>
      </c>
      <c r="L258" s="55">
        <v>1</v>
      </c>
      <c r="M258" s="55" t="s">
        <v>3250</v>
      </c>
      <c r="N258" s="55" t="s">
        <v>3230</v>
      </c>
      <c r="O258" s="62" t="s">
        <v>2306</v>
      </c>
    </row>
  </sheetData>
  <conditionalFormatting sqref="D1">
    <cfRule type="containsText" dxfId="13" priority="1" operator="containsText" text="Dispara">
      <formula>NOT(ISERROR(SEARCH(("Dispara"),(D1))))</formula>
    </cfRule>
    <cfRule type="containsText" dxfId="12" priority="2" operator="containsText" text="Solar">
      <formula>NOT(ISERROR(SEARCH(("Solar"),(D1))))</formula>
    </cfRule>
    <cfRule type="containsText" dxfId="11" priority="3" operator="containsText" text="Defesa">
      <formula>NOT(ISERROR(SEARCH(("Defesa"),(D1))))</formula>
    </cfRule>
    <cfRule type="containsText" dxfId="10" priority="4" operator="containsText" text="Bomba">
      <formula>NOT(ISERROR(SEARCH(("Bomba"),(D1))))</formula>
    </cfRule>
    <cfRule type="containsText" dxfId="9" priority="5" operator="containsText" text="Gelo">
      <formula>NOT(ISERROR(SEARCH(("Gelo"),(D1))))</formula>
    </cfRule>
    <cfRule type="containsText" dxfId="8" priority="6" operator="containsText" text="Físico">
      <formula>NOT(ISERROR(SEARCH(("Físico"),(D1))))</formula>
    </cfRule>
    <cfRule type="containsText" dxfId="7" priority="7" operator="containsText" text="Veneno">
      <formula>NOT(ISERROR(SEARCH(("Veneno"),(D1))))</formula>
    </cfRule>
    <cfRule type="containsText" dxfId="6" priority="8" operator="containsText" text="Suporte">
      <formula>NOT(ISERROR(SEARCH(("Suporte"),(D1))))</formula>
    </cfRule>
    <cfRule type="containsText" dxfId="5" priority="9" operator="containsText" text="Mente">
      <formula>NOT(ISERROR(SEARCH(("Mente"),(D1))))</formula>
    </cfRule>
    <cfRule type="containsText" dxfId="4" priority="10" operator="containsText" text="Fogo">
      <formula>NOT(ISERROR(SEARCH(("Fogo"),(D1))))</formula>
    </cfRule>
    <cfRule type="containsText" dxfId="3" priority="11" operator="containsText" text="Perfurante">
      <formula>NOT(ISERROR(SEARCH(("Perfurante"),(D1))))</formula>
    </cfRule>
    <cfRule type="containsText" dxfId="2" priority="12" operator="containsText" text="Arremesso">
      <formula>NOT(ISERROR(SEARCH(("Arremesso"),(D1))))</formula>
    </cfRule>
    <cfRule type="containsText" dxfId="1" priority="13" operator="containsText" text="Elétrica">
      <formula>NOT(ISERROR(SEARCH(("Elétrica"),(D1))))</formula>
    </cfRule>
    <cfRule type="containsText" dxfId="0" priority="14" operator="containsText" text="Sombra">
      <formula>NOT(ISERROR(SEARCH(("Sombra"),(D1))))</formula>
    </cfRule>
  </conditionalFormatting>
  <dataValidations count="4">
    <dataValidation type="list" allowBlank="1" sqref="O2:O258" xr:uid="{00000000-0002-0000-0400-000000000000}">
      <formula1>"Basic,Premium,Galactic,Colossal,Triassic"</formula1>
    </dataValidation>
    <dataValidation type="custom" allowBlank="1" showDropDown="1" sqref="A2:A258 J2:L258" xr:uid="{00000000-0002-0000-0400-000001000000}">
      <formula1>AND(ISNUMBER(A2),(NOT(OR(NOT(ISERROR(DATEVALUE(A2))), AND(ISNUMBER(A2), LEFT(CELL("format", A2))="D")))))</formula1>
    </dataValidation>
    <dataValidation type="list" allowBlank="1" sqref="D2:D258" xr:uid="{00000000-0002-0000-0400-000002000000}">
      <formula1>"Mega-Grow,Solar,Guardian,Kabloom,Smarty"</formula1>
    </dataValidation>
    <dataValidation type="list" allowBlank="1" sqref="N2:N258" xr:uid="{00000000-0002-0000-0400-000003000000}">
      <formula1>"Common,Uncommon,Rare,Epic,Legendary,Event,Token"</formula1>
    </dataValidation>
  </dataValidations>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324"/>
  <sheetViews>
    <sheetView workbookViewId="0"/>
  </sheetViews>
  <sheetFormatPr defaultColWidth="12.5703125" defaultRowHeight="15.75" customHeight="1" x14ac:dyDescent="0.2"/>
  <sheetData>
    <row r="1" spans="1:25" x14ac:dyDescent="0.2">
      <c r="A1" s="63" t="str">
        <f ca="1">IFERROR(__xludf.DUMMYFUNCTION("QUERY({Database!1:189})"),"ID")</f>
        <v>ID</v>
      </c>
      <c r="B1" s="63" t="str">
        <f ca="1">IFERROR(__xludf.DUMMYFUNCTION("""COMPUTED_VALUE"""),"Name")</f>
        <v>Name</v>
      </c>
      <c r="C1" s="63" t="str">
        <f ca="1">IFERROR(__xludf.DUMMYFUNCTION("""COMPUTED_VALUE"""),"Translation")</f>
        <v>Translation</v>
      </c>
      <c r="D1" s="63" t="str">
        <f ca="1">IFERROR(__xludf.DUMMYFUNCTION("""COMPUTED_VALUE"""),"Type")</f>
        <v>Type</v>
      </c>
      <c r="E1" s="63" t="str">
        <f ca="1">IFERROR(__xludf.DUMMYFUNCTION("""COMPUTED_VALUE"""),"Description")</f>
        <v>Description</v>
      </c>
      <c r="F1" s="63" t="str">
        <f ca="1">IFERROR(__xludf.DUMMYFUNCTION("""COMPUTED_VALUE"""),"Sun Cust")</f>
        <v>Sun Cust</v>
      </c>
      <c r="G1" s="63" t="str">
        <f ca="1">IFERROR(__xludf.DUMMYFUNCTION("""COMPUTED_VALUE"""),"Tought")</f>
        <v>Tought</v>
      </c>
      <c r="H1" s="63" t="str">
        <f ca="1">IFERROR(__xludf.DUMMYFUNCTION("""COMPUTED_VALUE"""),"Damage")</f>
        <v>Damage</v>
      </c>
      <c r="I1" s="63" t="str">
        <f ca="1">IFERROR(__xludf.DUMMYFUNCTION("""COMPUTED_VALUE"""),"Recarga")</f>
        <v>Recarga</v>
      </c>
      <c r="J1" s="63" t="str">
        <f ca="1">IFERROR(__xludf.DUMMYFUNCTION("""COMPUTED_VALUE"""),"Plant Food Effect")</f>
        <v>Plant Food Effect</v>
      </c>
      <c r="K1" s="63" t="str">
        <f ca="1">IFERROR(__xludf.DUMMYFUNCTION("""COMPUTED_VALUE"""),"Hint")</f>
        <v>Hint</v>
      </c>
      <c r="L1" s="63" t="str">
        <f ca="1">IFERROR(__xludf.DUMMYFUNCTION("""COMPUTED_VALUE"""),"Special")</f>
        <v>Special</v>
      </c>
      <c r="M1" s="63" t="str">
        <f ca="1">IFERROR(__xludf.DUMMYFUNCTION("""COMPUTED_VALUE"""),"Single use")</f>
        <v>Single use</v>
      </c>
      <c r="N1" s="63" t="str">
        <f ca="1">IFERROR(__xludf.DUMMYFUNCTION("""COMPUTED_VALUE"""),"Instant use")</f>
        <v>Instant use</v>
      </c>
      <c r="O1" s="63" t="str">
        <f ca="1">IFERROR(__xludf.DUMMYFUNCTION("""COMPUTED_VALUE"""),"Sun Production")</f>
        <v>Sun Production</v>
      </c>
      <c r="P1" s="63" t="str">
        <f ca="1">IFERROR(__xludf.DUMMYFUNCTION("""COMPUTED_VALUE"""),"Rarity")</f>
        <v>Rarity</v>
      </c>
      <c r="Q1" s="63" t="str">
        <f ca="1">IFERROR(__xludf.DUMMYFUNCTION("""COMPUTED_VALUE"""),"Especial")</f>
        <v>Especial</v>
      </c>
      <c r="R1" s="63" t="str">
        <f ca="1">IFERROR(__xludf.DUMMYFUNCTION("""COMPUTED_VALUE"""),"Plant_Origin")</f>
        <v>Plant_Origin</v>
      </c>
      <c r="S1" s="63" t="str">
        <f ca="1">IFERROR(__xludf.DUMMYFUNCTION("""COMPUTED_VALUE"""),"Origin")</f>
        <v>Origin</v>
      </c>
      <c r="T1" s="63" t="str">
        <f ca="1">IFERROR(__xludf.DUMMYFUNCTION("""COMPUTED_VALUE"""),"Var Tought")</f>
        <v>Var Tought</v>
      </c>
      <c r="U1" s="63" t="str">
        <f ca="1">IFERROR(__xludf.DUMMYFUNCTION("""COMPUTED_VALUE"""),"Var Damage")</f>
        <v>Var Damage</v>
      </c>
      <c r="V1" s="63" t="str">
        <f ca="1">IFERROR(__xludf.DUMMYFUNCTION("""COMPUTED_VALUE"""),"Code")</f>
        <v>Code</v>
      </c>
      <c r="W1" s="63" t="str">
        <f ca="1">IFERROR(__xludf.DUMMYFUNCTION("""COMPUTED_VALUE"""),"Classification")</f>
        <v>Classification</v>
      </c>
      <c r="X1" s="63" t="str">
        <f ca="1">IFERROR(__xludf.DUMMYFUNCTION("""COMPUTED_VALUE"""),"Appearances")</f>
        <v>Appearances</v>
      </c>
      <c r="Y1" s="63" t="str">
        <f ca="1">IFERROR(__xludf.DUMMYFUNCTION("""COMPUTED_VALUE"""),"img_link")</f>
        <v>img_link</v>
      </c>
    </row>
    <row r="2" spans="1:25" x14ac:dyDescent="0.2">
      <c r="A2" s="64">
        <f ca="1">IFERROR(__xludf.DUMMYFUNCTION("""COMPUTED_VALUE"""),1)</f>
        <v>1</v>
      </c>
      <c r="B2" s="64" t="str">
        <f ca="1">IFERROR(__xludf.DUMMYFUNCTION("""COMPUTED_VALUE"""),"Peashooter")</f>
        <v>Peashooter</v>
      </c>
      <c r="C2" s="64" t="str">
        <f ca="1">IFERROR(__xludf.DUMMYFUNCTION("""COMPUTED_VALUE"""),"Disparervilha")</f>
        <v>Disparervilha</v>
      </c>
      <c r="D2" s="64" t="str">
        <f ca="1">IFERROR(__xludf.DUMMYFUNCTION("""COMPUTED_VALUE"""),"Dispara")</f>
        <v>Dispara</v>
      </c>
      <c r="E2" s="64" t="str">
        <f ca="1">IFERROR(__xludf.DUMMYFUNCTION("""COMPUTED_VALUE"""),"Dispara uma ervilha contra os zumbis.")</f>
        <v>Dispara uma ervilha contra os zumbis.</v>
      </c>
      <c r="F2" s="64">
        <f ca="1">IFERROR(__xludf.DUMMYFUNCTION("""COMPUTED_VALUE"""),100)</f>
        <v>100</v>
      </c>
      <c r="G2" s="64">
        <f ca="1">IFERROR(__xludf.DUMMYFUNCTION("""COMPUTED_VALUE"""),300)</f>
        <v>300</v>
      </c>
      <c r="H2" s="64">
        <f ca="1">IFERROR(__xludf.DUMMYFUNCTION("""COMPUTED_VALUE"""),20)</f>
        <v>20</v>
      </c>
      <c r="I2" s="64">
        <f ca="1">IFERROR(__xludf.DUMMYFUNCTION("""COMPUTED_VALUE"""),5)</f>
        <v>5</v>
      </c>
      <c r="J2" s="64" t="str">
        <f ca="1">IFERROR(__xludf.DUMMYFUNCTION("""COMPUTED_VALUE"""),"Shoots a barrage of fast peas.")</f>
        <v>Shoots a barrage of fast peas.</v>
      </c>
      <c r="K2" s="64"/>
      <c r="L2" s="64"/>
      <c r="M2" s="64" t="b">
        <f ca="1">IFERROR(__xludf.DUMMYFUNCTION("""COMPUTED_VALUE"""),FALSE)</f>
        <v>0</v>
      </c>
      <c r="N2" s="64" t="b">
        <f ca="1">IFERROR(__xludf.DUMMYFUNCTION("""COMPUTED_VALUE"""),FALSE)</f>
        <v>0</v>
      </c>
      <c r="O2" s="64">
        <f ca="1">IFERROR(__xludf.DUMMYFUNCTION("""COMPUTED_VALUE"""),0)</f>
        <v>0</v>
      </c>
      <c r="P2" s="64" t="str">
        <f ca="1">IFERROR(__xludf.DUMMYFUNCTION("""COMPUTED_VALUE"""),"Common")</f>
        <v>Common</v>
      </c>
      <c r="Q2" s="64"/>
      <c r="R2" s="64" t="str">
        <f ca="1">IFERROR(__xludf.DUMMYFUNCTION("""COMPUTED_VALUE"""),"Pea")</f>
        <v>Pea</v>
      </c>
      <c r="S2" s="64" t="str">
        <f ca="1">IFERROR(__xludf.DUMMYFUNCTION("""COMPUTED_VALUE"""),"Natural")</f>
        <v>Natural</v>
      </c>
      <c r="T2" s="64" t="str">
        <f ca="1">IFERROR(__xludf.DUMMYFUNCTION("""COMPUTED_VALUE"""),"None")</f>
        <v>None</v>
      </c>
      <c r="U2" s="64" t="str">
        <f ca="1">IFERROR(__xludf.DUMMYFUNCTION("""COMPUTED_VALUE"""),"None")</f>
        <v>None</v>
      </c>
      <c r="V2" s="64" t="str">
        <f ca="1">IFERROR(__xludf.DUMMYFUNCTION("""COMPUTED_VALUE"""),"peashooter")</f>
        <v>peashooter</v>
      </c>
      <c r="W2" s="64" t="str">
        <f ca="1">IFERROR(__xludf.DUMMYFUNCTION("""COMPUTED_VALUE"""),"Ranged")</f>
        <v>Ranged</v>
      </c>
      <c r="X2" s="64" t="str">
        <f ca="1">IFERROR(__xludf.DUMMYFUNCTION("""COMPUTED_VALUE"""),"PvZ, PvZ 2, PvZ 2 Chinease, PvZ Heroes, PvZ GW, PvZ GW 2, PvZA, PvZ BfN, PvZ 3")</f>
        <v>PvZ, PvZ 2, PvZ 2 Chinease, PvZ Heroes, PvZ GW, PvZ GW 2, PvZA, PvZ BfN, PvZ 3</v>
      </c>
      <c r="Y2" s="65" t="str">
        <f ca="1">IFERROR(__xludf.DUMMYFUNCTION("""COMPUTED_VALUE"""),"https://static.wikia.nocookie.net/plantsvszombies/images/c/ca/Peashooter2.png/revision/latest?cb=20221126065143")</f>
        <v>https://static.wikia.nocookie.net/plantsvszombies/images/c/ca/Peashooter2.png/revision/latest?cb=20221126065143</v>
      </c>
    </row>
    <row r="3" spans="1:25" x14ac:dyDescent="0.2">
      <c r="A3" s="64">
        <f ca="1">IFERROR(__xludf.DUMMYFUNCTION("""COMPUTED_VALUE"""),2)</f>
        <v>2</v>
      </c>
      <c r="B3" s="64" t="str">
        <f ca="1">IFERROR(__xludf.DUMMYFUNCTION("""COMPUTED_VALUE"""),"Sunflower")</f>
        <v>Sunflower</v>
      </c>
      <c r="C3" s="64" t="str">
        <f ca="1">IFERROR(__xludf.DUMMYFUNCTION("""COMPUTED_VALUE"""),"Girassol")</f>
        <v>Girassol</v>
      </c>
      <c r="D3" s="64" t="str">
        <f ca="1">IFERROR(__xludf.DUMMYFUNCTION("""COMPUTED_VALUE"""),"Esclarecida")</f>
        <v>Esclarecida</v>
      </c>
      <c r="E3" s="64" t="str">
        <f ca="1">IFERROR(__xludf.DUMMYFUNCTION("""COMPUTED_VALUE"""),"Produz sóis extras.")</f>
        <v>Produz sóis extras.</v>
      </c>
      <c r="F3" s="64">
        <f ca="1">IFERROR(__xludf.DUMMYFUNCTION("""COMPUTED_VALUE"""),50)</f>
        <v>50</v>
      </c>
      <c r="G3" s="64">
        <f ca="1">IFERROR(__xludf.DUMMYFUNCTION("""COMPUTED_VALUE"""),300)</f>
        <v>300</v>
      </c>
      <c r="H3" s="64">
        <f ca="1">IFERROR(__xludf.DUMMYFUNCTION("""COMPUTED_VALUE"""),0)</f>
        <v>0</v>
      </c>
      <c r="I3" s="64">
        <f ca="1">IFERROR(__xludf.DUMMYFUNCTION("""COMPUTED_VALUE"""),5)</f>
        <v>5</v>
      </c>
      <c r="J3" s="64" t="str">
        <f ca="1">IFERROR(__xludf.DUMMYFUNCTION("""COMPUTED_VALUE"""),"Immediately produces a large amount of sun.")</f>
        <v>Immediately produces a large amount of sun.</v>
      </c>
      <c r="K3" s="64"/>
      <c r="L3" s="64"/>
      <c r="M3" s="64" t="b">
        <f ca="1">IFERROR(__xludf.DUMMYFUNCTION("""COMPUTED_VALUE"""),FALSE)</f>
        <v>0</v>
      </c>
      <c r="N3" s="64" t="b">
        <f ca="1">IFERROR(__xludf.DUMMYFUNCTION("""COMPUTED_VALUE"""),FALSE)</f>
        <v>0</v>
      </c>
      <c r="O3" s="64">
        <f ca="1">IFERROR(__xludf.DUMMYFUNCTION("""COMPUTED_VALUE"""),50)</f>
        <v>50</v>
      </c>
      <c r="P3" s="64" t="str">
        <f ca="1">IFERROR(__xludf.DUMMYFUNCTION("""COMPUTED_VALUE"""),"Common")</f>
        <v>Common</v>
      </c>
      <c r="Q3" s="64"/>
      <c r="R3" s="64" t="str">
        <f ca="1">IFERROR(__xludf.DUMMYFUNCTION("""COMPUTED_VALUE"""),"Flower")</f>
        <v>Flower</v>
      </c>
      <c r="S3" s="64" t="str">
        <f ca="1">IFERROR(__xludf.DUMMYFUNCTION("""COMPUTED_VALUE"""),"Natural")</f>
        <v>Natural</v>
      </c>
      <c r="T3" s="64" t="str">
        <f ca="1">IFERROR(__xludf.DUMMYFUNCTION("""COMPUTED_VALUE"""),"None")</f>
        <v>None</v>
      </c>
      <c r="U3" s="64" t="str">
        <f ca="1">IFERROR(__xludf.DUMMYFUNCTION("""COMPUTED_VALUE"""),"None")</f>
        <v>None</v>
      </c>
      <c r="V3" s="64" t="str">
        <f ca="1">IFERROR(__xludf.DUMMYFUNCTION("""COMPUTED_VALUE"""),"sunflower")</f>
        <v>sunflower</v>
      </c>
      <c r="W3" s="64" t="str">
        <f ca="1">IFERROR(__xludf.DUMMYFUNCTION("""COMPUTED_VALUE"""),"Sun")</f>
        <v>Sun</v>
      </c>
      <c r="X3" s="64" t="str">
        <f ca="1">IFERROR(__xludf.DUMMYFUNCTION("""COMPUTED_VALUE"""),"PvZ, PvZ 2, PvZ 2 Chinease, PvZ Heroes, PvZ GW, PvZ GW 2, PvZA, PvZ BfN, PvZ 3")</f>
        <v>PvZ, PvZ 2, PvZ 2 Chinease, PvZ Heroes, PvZ GW, PvZ GW 2, PvZA, PvZ BfN, PvZ 3</v>
      </c>
      <c r="Y3" s="65" t="str">
        <f ca="1">IFERROR(__xludf.DUMMYFUNCTION("""COMPUTED_VALUE"""),"https://static.wikia.nocookie.net/plantsvszombies/images/d/de/Sunflower2.png/revision/latest?cb=20221126064943")</f>
        <v>https://static.wikia.nocookie.net/plantsvszombies/images/d/de/Sunflower2.png/revision/latest?cb=20221126064943</v>
      </c>
    </row>
    <row r="4" spans="1:25" x14ac:dyDescent="0.2">
      <c r="A4" s="64">
        <f ca="1">IFERROR(__xludf.DUMMYFUNCTION("""COMPUTED_VALUE"""),3)</f>
        <v>3</v>
      </c>
      <c r="B4" s="64" t="str">
        <f ca="1">IFERROR(__xludf.DUMMYFUNCTION("""COMPUTED_VALUE"""),"Wall-nut")</f>
        <v>Wall-nut</v>
      </c>
      <c r="C4" s="64" t="str">
        <f ca="1">IFERROR(__xludf.DUMMYFUNCTION("""COMPUTED_VALUE"""),"Noz-obstáculo")</f>
        <v>Noz-obstáculo</v>
      </c>
      <c r="D4" s="64" t="str">
        <f ca="1">IFERROR(__xludf.DUMMYFUNCTION("""COMPUTED_VALUE"""),"Endurecida")</f>
        <v>Endurecida</v>
      </c>
      <c r="E4" s="64" t="str">
        <f ca="1">IFERROR(__xludf.DUMMYFUNCTION("""COMPUTED_VALUE"""),"Fornece uma proteção básica para as plantas.")</f>
        <v>Fornece uma proteção básica para as plantas.</v>
      </c>
      <c r="F4" s="64">
        <f ca="1">IFERROR(__xludf.DUMMYFUNCTION("""COMPUTED_VALUE"""),50)</f>
        <v>50</v>
      </c>
      <c r="G4" s="64">
        <f ca="1">IFERROR(__xludf.DUMMYFUNCTION("""COMPUTED_VALUE"""),4000)</f>
        <v>4000</v>
      </c>
      <c r="H4" s="64">
        <f ca="1">IFERROR(__xludf.DUMMYFUNCTION("""COMPUTED_VALUE"""),0)</f>
        <v>0</v>
      </c>
      <c r="I4" s="64">
        <f ca="1">IFERROR(__xludf.DUMMYFUNCTION("""COMPUTED_VALUE"""),20)</f>
        <v>20</v>
      </c>
      <c r="J4" s="64" t="str">
        <f ca="1">IFERROR(__xludf.DUMMYFUNCTION("""COMPUTED_VALUE"""),"Heals itself and gains a hard armor shell.")</f>
        <v>Heals itself and gains a hard armor shell.</v>
      </c>
      <c r="K4" s="64"/>
      <c r="L4" s="64"/>
      <c r="M4" s="64" t="b">
        <f ca="1">IFERROR(__xludf.DUMMYFUNCTION("""COMPUTED_VALUE"""),FALSE)</f>
        <v>0</v>
      </c>
      <c r="N4" s="64" t="b">
        <f ca="1">IFERROR(__xludf.DUMMYFUNCTION("""COMPUTED_VALUE"""),FALSE)</f>
        <v>0</v>
      </c>
      <c r="O4" s="64">
        <f ca="1">IFERROR(__xludf.DUMMYFUNCTION("""COMPUTED_VALUE"""),0)</f>
        <v>0</v>
      </c>
      <c r="P4" s="64" t="str">
        <f ca="1">IFERROR(__xludf.DUMMYFUNCTION("""COMPUTED_VALUE"""),"Common")</f>
        <v>Common</v>
      </c>
      <c r="Q4" s="64"/>
      <c r="R4" s="64" t="str">
        <f ca="1">IFERROR(__xludf.DUMMYFUNCTION("""COMPUTED_VALUE"""),"Nut")</f>
        <v>Nut</v>
      </c>
      <c r="S4" s="64" t="str">
        <f ca="1">IFERROR(__xludf.DUMMYFUNCTION("""COMPUTED_VALUE"""),"Natural")</f>
        <v>Natural</v>
      </c>
      <c r="T4" s="64" t="str">
        <f ca="1">IFERROR(__xludf.DUMMYFUNCTION("""COMPUTED_VALUE"""),"None")</f>
        <v>None</v>
      </c>
      <c r="U4" s="64" t="str">
        <f ca="1">IFERROR(__xludf.DUMMYFUNCTION("""COMPUTED_VALUE"""),"None")</f>
        <v>None</v>
      </c>
      <c r="V4" s="64" t="str">
        <f ca="1">IFERROR(__xludf.DUMMYFUNCTION("""COMPUTED_VALUE"""),"wallnut")</f>
        <v>wallnut</v>
      </c>
      <c r="W4" s="64" t="str">
        <f ca="1">IFERROR(__xludf.DUMMYFUNCTION("""COMPUTED_VALUE"""),"Tough")</f>
        <v>Tough</v>
      </c>
      <c r="X4" s="64" t="str">
        <f ca="1">IFERROR(__xludf.DUMMYFUNCTION("""COMPUTED_VALUE"""),"PvZ, PvZ 2, PvZ 2 Chinease, PvZ Heroes, PvZ GW, PvZ GW 2, PvZA, PvZ 3")</f>
        <v>PvZ, PvZ 2, PvZ 2 Chinease, PvZ Heroes, PvZ GW, PvZ GW 2, PvZA, PvZ 3</v>
      </c>
      <c r="Y4" s="65" t="str">
        <f ca="1">IFERROR(__xludf.DUMMYFUNCTION("""COMPUTED_VALUE"""),"https://static.wikia.nocookie.net/plantsvszombies/images/1/17/Wall-nut2.png/revision/latest?cb=20221126065345")</f>
        <v>https://static.wikia.nocookie.net/plantsvszombies/images/1/17/Wall-nut2.png/revision/latest?cb=20221126065345</v>
      </c>
    </row>
    <row r="5" spans="1:25" x14ac:dyDescent="0.2">
      <c r="A5" s="64">
        <f ca="1">IFERROR(__xludf.DUMMYFUNCTION("""COMPUTED_VALUE"""),4)</f>
        <v>4</v>
      </c>
      <c r="B5" s="64" t="str">
        <f ca="1">IFERROR(__xludf.DUMMYFUNCTION("""COMPUTED_VALUE"""),"Potato Mine")</f>
        <v>Potato Mine</v>
      </c>
      <c r="C5" s="64" t="str">
        <f ca="1">IFERROR(__xludf.DUMMYFUNCTION("""COMPUTED_VALUE"""),"Batata Mina")</f>
        <v>Batata Mina</v>
      </c>
      <c r="D5" s="64" t="str">
        <f ca="1">IFERROR(__xludf.DUMMYFUNCTION("""COMPUTED_VALUE"""),"Bombarda")</f>
        <v>Bombarda</v>
      </c>
      <c r="E5" s="64" t="str">
        <f ca="1">IFERROR(__xludf.DUMMYFUNCTION("""COMPUTED_VALUE"""),"Se arma e explode causando dano.")</f>
        <v>Se arma e explode causando dano.</v>
      </c>
      <c r="F5" s="64">
        <f ca="1">IFERROR(__xludf.DUMMYFUNCTION("""COMPUTED_VALUE"""),25)</f>
        <v>25</v>
      </c>
      <c r="G5" s="64">
        <f ca="1">IFERROR(__xludf.DUMMYFUNCTION("""COMPUTED_VALUE"""),300)</f>
        <v>300</v>
      </c>
      <c r="H5" s="64">
        <f ca="1">IFERROR(__xludf.DUMMYFUNCTION("""COMPUTED_VALUE"""),1800)</f>
        <v>1800</v>
      </c>
      <c r="I5" s="64">
        <f ca="1">IFERROR(__xludf.DUMMYFUNCTION("""COMPUTED_VALUE"""),20)</f>
        <v>20</v>
      </c>
      <c r="J5" s="64" t="str">
        <f ca="1">IFERROR(__xludf.DUMMYFUNCTION("""COMPUTED_VALUE"""),"Immediately arms and spawns multiple copies of itself.")</f>
        <v>Immediately arms and spawns multiple copies of itself.</v>
      </c>
      <c r="K5" s="64"/>
      <c r="L5" s="64"/>
      <c r="M5" s="64" t="b">
        <f ca="1">IFERROR(__xludf.DUMMYFUNCTION("""COMPUTED_VALUE"""),TRUE)</f>
        <v>1</v>
      </c>
      <c r="N5" s="64" t="b">
        <f ca="1">IFERROR(__xludf.DUMMYFUNCTION("""COMPUTED_VALUE"""),FALSE)</f>
        <v>0</v>
      </c>
      <c r="O5" s="64">
        <f ca="1">IFERROR(__xludf.DUMMYFUNCTION("""COMPUTED_VALUE"""),0)</f>
        <v>0</v>
      </c>
      <c r="P5" s="64" t="str">
        <f ca="1">IFERROR(__xludf.DUMMYFUNCTION("""COMPUTED_VALUE"""),"Common")</f>
        <v>Common</v>
      </c>
      <c r="Q5" s="64"/>
      <c r="R5" s="64" t="str">
        <f ca="1">IFERROR(__xludf.DUMMYFUNCTION("""COMPUTED_VALUE"""),"Root")</f>
        <v>Root</v>
      </c>
      <c r="S5" s="64" t="str">
        <f ca="1">IFERROR(__xludf.DUMMYFUNCTION("""COMPUTED_VALUE"""),"Natural")</f>
        <v>Natural</v>
      </c>
      <c r="T5" s="64" t="str">
        <f ca="1">IFERROR(__xludf.DUMMYFUNCTION("""COMPUTED_VALUE"""),"None")</f>
        <v>None</v>
      </c>
      <c r="U5" s="64" t="str">
        <f ca="1">IFERROR(__xludf.DUMMYFUNCTION("""COMPUTED_VALUE"""),"None")</f>
        <v>None</v>
      </c>
      <c r="V5" s="64" t="str">
        <f ca="1">IFERROR(__xludf.DUMMYFUNCTION("""COMPUTED_VALUE"""),"potatomine")</f>
        <v>potatomine</v>
      </c>
      <c r="W5" s="64" t="str">
        <f ca="1">IFERROR(__xludf.DUMMYFUNCTION("""COMPUTED_VALUE"""),"Special")</f>
        <v>Special</v>
      </c>
      <c r="X5" s="64" t="str">
        <f ca="1">IFERROR(__xludf.DUMMYFUNCTION("""COMPUTED_VALUE"""),"PvZ, PvZ 2, PvZ 2 Chinease, PvZ Heroes, PvZ GW, PvZ GW 2, PvZ BfN")</f>
        <v>PvZ, PvZ 2, PvZ 2 Chinease, PvZ Heroes, PvZ GW, PvZ GW 2, PvZ BfN</v>
      </c>
      <c r="Y5" s="65" t="str">
        <f ca="1">IFERROR(__xludf.DUMMYFUNCTION("""COMPUTED_VALUE"""),"https://static.wikia.nocookie.net/plantsvszombies/images/a/a0/Potato_Mine2.png/revision/latest?cb=20221126065516")</f>
        <v>https://static.wikia.nocookie.net/plantsvszombies/images/a/a0/Potato_Mine2.png/revision/latest?cb=20221126065516</v>
      </c>
    </row>
    <row r="6" spans="1:25" x14ac:dyDescent="0.2">
      <c r="A6" s="64">
        <f ca="1">IFERROR(__xludf.DUMMYFUNCTION("""COMPUTED_VALUE"""),5)</f>
        <v>5</v>
      </c>
      <c r="B6" s="64" t="str">
        <f ca="1">IFERROR(__xludf.DUMMYFUNCTION("""COMPUTED_VALUE"""),"Cabbage-pult")</f>
        <v>Cabbage-pult</v>
      </c>
      <c r="C6" s="64" t="str">
        <f ca="1">IFERROR(__xludf.DUMMYFUNCTION("""COMPUTED_VALUE"""),"Repolho-pulta")</f>
        <v>Repolho-pulta</v>
      </c>
      <c r="D6" s="64" t="str">
        <f ca="1">IFERROR(__xludf.DUMMYFUNCTION("""COMPUTED_VALUE"""),"Arma")</f>
        <v>Arma</v>
      </c>
      <c r="E6" s="64" t="str">
        <f ca="1">IFERROR(__xludf.DUMMYFUNCTION("""COMPUTED_VALUE"""),"Ataca os zumbis em parábola.")</f>
        <v>Ataca os zumbis em parábola.</v>
      </c>
      <c r="F6" s="64">
        <f ca="1">IFERROR(__xludf.DUMMYFUNCTION("""COMPUTED_VALUE"""),100)</f>
        <v>100</v>
      </c>
      <c r="G6" s="64">
        <f ca="1">IFERROR(__xludf.DUMMYFUNCTION("""COMPUTED_VALUE"""),300)</f>
        <v>300</v>
      </c>
      <c r="H6" s="64">
        <f ca="1">IFERROR(__xludf.DUMMYFUNCTION("""COMPUTED_VALUE"""),40)</f>
        <v>40</v>
      </c>
      <c r="I6" s="64">
        <f ca="1">IFERROR(__xludf.DUMMYFUNCTION("""COMPUTED_VALUE"""),5)</f>
        <v>5</v>
      </c>
      <c r="J6" s="64" t="str">
        <f ca="1">IFERROR(__xludf.DUMMYFUNCTION("""COMPUTED_VALUE"""),"Launches multiple cabbages at every zombie, dealing heavy damage.")</f>
        <v>Launches multiple cabbages at every zombie, dealing heavy damage.</v>
      </c>
      <c r="K6" s="64"/>
      <c r="L6" s="64"/>
      <c r="M6" s="64" t="b">
        <f ca="1">IFERROR(__xludf.DUMMYFUNCTION("""COMPUTED_VALUE"""),FALSE)</f>
        <v>0</v>
      </c>
      <c r="N6" s="64" t="b">
        <f ca="1">IFERROR(__xludf.DUMMYFUNCTION("""COMPUTED_VALUE"""),FALSE)</f>
        <v>0</v>
      </c>
      <c r="O6" s="64">
        <f ca="1">IFERROR(__xludf.DUMMYFUNCTION("""COMPUTED_VALUE"""),0)</f>
        <v>0</v>
      </c>
      <c r="P6" s="64" t="str">
        <f ca="1">IFERROR(__xludf.DUMMYFUNCTION("""COMPUTED_VALUE"""),"Common")</f>
        <v>Common</v>
      </c>
      <c r="Q6" s="64" t="str">
        <f ca="1">IFERROR(__xludf.DUMMYFUNCTION("""COMPUTED_VALUE"""),"explosion")</f>
        <v>explosion</v>
      </c>
      <c r="R6" s="64" t="str">
        <f ca="1">IFERROR(__xludf.DUMMYFUNCTION("""COMPUTED_VALUE"""),"Leaf")</f>
        <v>Leaf</v>
      </c>
      <c r="S6" s="64" t="str">
        <f ca="1">IFERROR(__xludf.DUMMYFUNCTION("""COMPUTED_VALUE"""),"Natural")</f>
        <v>Natural</v>
      </c>
      <c r="T6" s="64" t="str">
        <f ca="1">IFERROR(__xludf.DUMMYFUNCTION("""COMPUTED_VALUE"""),"None")</f>
        <v>None</v>
      </c>
      <c r="U6" s="64" t="str">
        <f ca="1">IFERROR(__xludf.DUMMYFUNCTION("""COMPUTED_VALUE"""),"None")</f>
        <v>None</v>
      </c>
      <c r="V6" s="64" t="str">
        <f ca="1">IFERROR(__xludf.DUMMYFUNCTION("""COMPUTED_VALUE"""),"cabbagepult")</f>
        <v>cabbagepult</v>
      </c>
      <c r="W6" s="64" t="str">
        <f ca="1">IFERROR(__xludf.DUMMYFUNCTION("""COMPUTED_VALUE"""),"Ranged")</f>
        <v>Ranged</v>
      </c>
      <c r="X6" s="64" t="str">
        <f ca="1">IFERROR(__xludf.DUMMYFUNCTION("""COMPUTED_VALUE"""),"PvZ, PvZ 2, PvZ 2 Chinease, PvZ Heroes, PvZ 3")</f>
        <v>PvZ, PvZ 2, PvZ 2 Chinease, PvZ Heroes, PvZ 3</v>
      </c>
      <c r="Y6" s="65" t="str">
        <f ca="1">IFERROR(__xludf.DUMMYFUNCTION("""COMPUTED_VALUE"""),"https://static.wikia.nocookie.net/plantsvszombies/images/7/76/Cabbage-pult2.png/revision/latest?cb=20221206062917")</f>
        <v>https://static.wikia.nocookie.net/plantsvszombies/images/7/76/Cabbage-pult2.png/revision/latest?cb=20221206062917</v>
      </c>
    </row>
    <row r="7" spans="1:25" x14ac:dyDescent="0.2">
      <c r="A7" s="64">
        <f ca="1">IFERROR(__xludf.DUMMYFUNCTION("""COMPUTED_VALUE"""),6)</f>
        <v>6</v>
      </c>
      <c r="B7" s="64" t="str">
        <f ca="1">IFERROR(__xludf.DUMMYFUNCTION("""COMPUTED_VALUE"""),"Bloomerang")</f>
        <v>Bloomerang</v>
      </c>
      <c r="C7" s="64" t="str">
        <f ca="1">IFERROR(__xludf.DUMMYFUNCTION("""COMPUTED_VALUE"""),"Flormerangue")</f>
        <v>Flormerangue</v>
      </c>
      <c r="D7" s="64" t="str">
        <f ca="1">IFERROR(__xludf.DUMMYFUNCTION("""COMPUTED_VALUE"""),"Perfura")</f>
        <v>Perfura</v>
      </c>
      <c r="E7" s="64" t="str">
        <f ca="1">IFERROR(__xludf.DUMMYFUNCTION("""COMPUTED_VALUE"""),"Ataca até 3 zumbis duas vezes por ataque.")</f>
        <v>Ataca até 3 zumbis duas vezes por ataque.</v>
      </c>
      <c r="F7" s="64">
        <f ca="1">IFERROR(__xludf.DUMMYFUNCTION("""COMPUTED_VALUE"""),175)</f>
        <v>175</v>
      </c>
      <c r="G7" s="64">
        <f ca="1">IFERROR(__xludf.DUMMYFUNCTION("""COMPUTED_VALUE"""),300)</f>
        <v>300</v>
      </c>
      <c r="H7" s="64">
        <f ca="1">IFERROR(__xludf.DUMMYFUNCTION("""COMPUTED_VALUE"""),20)</f>
        <v>20</v>
      </c>
      <c r="I7" s="64">
        <f ca="1">IFERROR(__xludf.DUMMYFUNCTION("""COMPUTED_VALUE"""),5)</f>
        <v>5</v>
      </c>
      <c r="J7" s="64" t="str">
        <f ca="1">IFERROR(__xludf.DUMMYFUNCTION("""COMPUTED_VALUE"""),"Throws boomerangs in four directions damaging all zombies in the area.")</f>
        <v>Throws boomerangs in four directions damaging all zombies in the area.</v>
      </c>
      <c r="K7" s="64"/>
      <c r="L7" s="64"/>
      <c r="M7" s="64" t="b">
        <f ca="1">IFERROR(__xludf.DUMMYFUNCTION("""COMPUTED_VALUE"""),FALSE)</f>
        <v>0</v>
      </c>
      <c r="N7" s="64" t="b">
        <f ca="1">IFERROR(__xludf.DUMMYFUNCTION("""COMPUTED_VALUE"""),FALSE)</f>
        <v>0</v>
      </c>
      <c r="O7" s="64">
        <f ca="1">IFERROR(__xludf.DUMMYFUNCTION("""COMPUTED_VALUE"""),0)</f>
        <v>0</v>
      </c>
      <c r="P7" s="64" t="str">
        <f ca="1">IFERROR(__xludf.DUMMYFUNCTION("""COMPUTED_VALUE"""),"Common")</f>
        <v>Common</v>
      </c>
      <c r="Q7" s="64"/>
      <c r="R7" s="64" t="str">
        <f ca="1">IFERROR(__xludf.DUMMYFUNCTION("""COMPUTED_VALUE"""),"Flower")</f>
        <v>Flower</v>
      </c>
      <c r="S7" s="64" t="str">
        <f ca="1">IFERROR(__xludf.DUMMYFUNCTION("""COMPUTED_VALUE"""),"Natural")</f>
        <v>Natural</v>
      </c>
      <c r="T7" s="64" t="str">
        <f ca="1">IFERROR(__xludf.DUMMYFUNCTION("""COMPUTED_VALUE"""),"None")</f>
        <v>None</v>
      </c>
      <c r="U7" s="64" t="str">
        <f ca="1">IFERROR(__xludf.DUMMYFUNCTION("""COMPUTED_VALUE"""),"None")</f>
        <v>None</v>
      </c>
      <c r="V7" s="64" t="str">
        <f ca="1">IFERROR(__xludf.DUMMYFUNCTION("""COMPUTED_VALUE"""),"bloomerang")</f>
        <v>bloomerang</v>
      </c>
      <c r="W7" s="64" t="str">
        <f ca="1">IFERROR(__xludf.DUMMYFUNCTION("""COMPUTED_VALUE"""),"Ranged")</f>
        <v>Ranged</v>
      </c>
      <c r="X7" s="64" t="str">
        <f ca="1">IFERROR(__xludf.DUMMYFUNCTION("""COMPUTED_VALUE"""),"PvZ 2, PvZ 2 Chinease, PvZ Heroes")</f>
        <v>PvZ 2, PvZ 2 Chinease, PvZ Heroes</v>
      </c>
      <c r="Y7" s="65" t="str">
        <f ca="1">IFERROR(__xludf.DUMMYFUNCTION("""COMPUTED_VALUE"""),"https://static.wikia.nocookie.net/plantsvszombies/images/5/57/Bloomerang2.png/revision/latest?cb=20221126070057")</f>
        <v>https://static.wikia.nocookie.net/plantsvszombies/images/5/57/Bloomerang2.png/revision/latest?cb=20221126070057</v>
      </c>
    </row>
    <row r="8" spans="1:25" x14ac:dyDescent="0.2">
      <c r="A8" s="64">
        <f ca="1">IFERROR(__xludf.DUMMYFUNCTION("""COMPUTED_VALUE"""),7)</f>
        <v>7</v>
      </c>
      <c r="B8" s="64" t="str">
        <f ca="1">IFERROR(__xludf.DUMMYFUNCTION("""COMPUTED_VALUE"""),"Iceberg Lettuce")</f>
        <v>Iceberg Lettuce</v>
      </c>
      <c r="C8" s="64" t="str">
        <f ca="1">IFERROR(__xludf.DUMMYFUNCTION("""COMPUTED_VALUE"""),"Alfice Berg")</f>
        <v>Alfice Berg</v>
      </c>
      <c r="D8" s="64" t="str">
        <f ca="1">IFERROR(__xludf.DUMMYFUNCTION("""COMPUTED_VALUE"""),"Resfriada")</f>
        <v>Resfriada</v>
      </c>
      <c r="E8" s="64" t="str">
        <f ca="1">IFERROR(__xludf.DUMMYFUNCTION("""COMPUTED_VALUE"""),"Congela completamente um zumbi.")</f>
        <v>Congela completamente um zumbi.</v>
      </c>
      <c r="F8" s="64">
        <f ca="1">IFERROR(__xludf.DUMMYFUNCTION("""COMPUTED_VALUE"""),0)</f>
        <v>0</v>
      </c>
      <c r="G8" s="64">
        <f ca="1">IFERROR(__xludf.DUMMYFUNCTION("""COMPUTED_VALUE"""),1)</f>
        <v>1</v>
      </c>
      <c r="H8" s="64">
        <f ca="1">IFERROR(__xludf.DUMMYFUNCTION("""COMPUTED_VALUE"""),0)</f>
        <v>0</v>
      </c>
      <c r="I8" s="64">
        <f ca="1">IFERROR(__xludf.DUMMYFUNCTION("""COMPUTED_VALUE"""),20)</f>
        <v>20</v>
      </c>
      <c r="J8" s="64" t="str">
        <f ca="1">IFERROR(__xludf.DUMMYFUNCTION("""COMPUTED_VALUE"""),"Freezes or chills every zombie on lawn.")</f>
        <v>Freezes or chills every zombie on lawn.</v>
      </c>
      <c r="K8" s="64"/>
      <c r="L8" s="64" t="str">
        <f ca="1">IFERROR(__xludf.DUMMYFUNCTION("""COMPUTED_VALUE"""),"Special - Explodes, temporarily freezing a zombie")</f>
        <v>Special - Explodes, temporarily freezing a zombie</v>
      </c>
      <c r="M8" s="64" t="b">
        <f ca="1">IFERROR(__xludf.DUMMYFUNCTION("""COMPUTED_VALUE"""),TRUE)</f>
        <v>1</v>
      </c>
      <c r="N8" s="64" t="b">
        <f ca="1">IFERROR(__xludf.DUMMYFUNCTION("""COMPUTED_VALUE"""),FALSE)</f>
        <v>0</v>
      </c>
      <c r="O8" s="64">
        <f ca="1">IFERROR(__xludf.DUMMYFUNCTION("""COMPUTED_VALUE"""),0)</f>
        <v>0</v>
      </c>
      <c r="P8" s="64" t="str">
        <f ca="1">IFERROR(__xludf.DUMMYFUNCTION("""COMPUTED_VALUE"""),"Common")</f>
        <v>Common</v>
      </c>
      <c r="Q8" s="64" t="str">
        <f ca="1">IFERROR(__xludf.DUMMYFUNCTION("""COMPUTED_VALUE"""),"freezing")</f>
        <v>freezing</v>
      </c>
      <c r="R8" s="64" t="str">
        <f ca="1">IFERROR(__xludf.DUMMYFUNCTION("""COMPUTED_VALUE"""),"Leaf")</f>
        <v>Leaf</v>
      </c>
      <c r="S8" s="64" t="str">
        <f ca="1">IFERROR(__xludf.DUMMYFUNCTION("""COMPUTED_VALUE"""),"Natural")</f>
        <v>Natural</v>
      </c>
      <c r="T8" s="64" t="str">
        <f ca="1">IFERROR(__xludf.DUMMYFUNCTION("""COMPUTED_VALUE"""),"None")</f>
        <v>None</v>
      </c>
      <c r="U8" s="64" t="str">
        <f ca="1">IFERROR(__xludf.DUMMYFUNCTION("""COMPUTED_VALUE"""),"None")</f>
        <v>None</v>
      </c>
      <c r="V8" s="64" t="str">
        <f ca="1">IFERROR(__xludf.DUMMYFUNCTION("""COMPUTED_VALUE"""),"iceburg")</f>
        <v>iceburg</v>
      </c>
      <c r="W8" s="64" t="str">
        <f ca="1">IFERROR(__xludf.DUMMYFUNCTION("""COMPUTED_VALUE"""),"Special")</f>
        <v>Special</v>
      </c>
      <c r="X8" s="64" t="str">
        <f ca="1">IFERROR(__xludf.DUMMYFUNCTION("""COMPUTED_VALUE"""),"PvZ 2, PvZ 2 Chinease, PvZ Heroes")</f>
        <v>PvZ 2, PvZ 2 Chinease, PvZ Heroes</v>
      </c>
      <c r="Y8" s="65" t="str">
        <f ca="1">IFERROR(__xludf.DUMMYFUNCTION("""COMPUTED_VALUE"""),"https://static.wikia.nocookie.net/plantsvszombies/images/d/d0/Iceberg_Lettuce2.png/revision/latest?cb=20221126070154")</f>
        <v>https://static.wikia.nocookie.net/plantsvszombies/images/d/d0/Iceberg_Lettuce2.png/revision/latest?cb=20221126070154</v>
      </c>
    </row>
    <row r="9" spans="1:25" x14ac:dyDescent="0.2">
      <c r="A9" s="64">
        <f ca="1">IFERROR(__xludf.DUMMYFUNCTION("""COMPUTED_VALUE"""),8)</f>
        <v>8</v>
      </c>
      <c r="B9" s="64" t="str">
        <f ca="1">IFERROR(__xludf.DUMMYFUNCTION("""COMPUTED_VALUE"""),"Grave Buster")</f>
        <v>Grave Buster</v>
      </c>
      <c r="C9" s="64" t="str">
        <f ca="1">IFERROR(__xludf.DUMMYFUNCTION("""COMPUTED_VALUE"""),"Come Cova")</f>
        <v>Come Cova</v>
      </c>
      <c r="D9" s="64" t="str">
        <f ca="1">IFERROR(__xludf.DUMMYFUNCTION("""COMPUTED_VALUE"""),"Refrea")</f>
        <v>Refrea</v>
      </c>
      <c r="E9" s="64" t="str">
        <f ca="1">IFERROR(__xludf.DUMMYFUNCTION("""COMPUTED_VALUE"""),"Come uma cova rapidamente.")</f>
        <v>Come uma cova rapidamente.</v>
      </c>
      <c r="F9" s="64">
        <f ca="1">IFERROR(__xludf.DUMMYFUNCTION("""COMPUTED_VALUE"""),0)</f>
        <v>0</v>
      </c>
      <c r="G9" s="64">
        <f ca="1">IFERROR(__xludf.DUMMYFUNCTION("""COMPUTED_VALUE"""),300)</f>
        <v>300</v>
      </c>
      <c r="H9" s="64">
        <f ca="1">IFERROR(__xludf.DUMMYFUNCTION("""COMPUTED_VALUE"""),0)</f>
        <v>0</v>
      </c>
      <c r="I9" s="64">
        <f ca="1">IFERROR(__xludf.DUMMYFUNCTION("""COMPUTED_VALUE"""),10)</f>
        <v>10</v>
      </c>
      <c r="J9" s="64" t="str">
        <f ca="1">IFERROR(__xludf.DUMMYFUNCTION("""COMPUTED_VALUE"""),"No Plant Food effect.")</f>
        <v>No Plant Food effect.</v>
      </c>
      <c r="K9" s="64"/>
      <c r="L9" s="64" t="str">
        <f ca="1">IFERROR(__xludf.DUMMYFUNCTION("""COMPUTED_VALUE"""),"Special - Can only be Planted on Tombstones.
Special - Removes graves")</f>
        <v>Special - Can only be Planted on Tombstones.
Special - Removes graves</v>
      </c>
      <c r="M9" s="64" t="b">
        <f ca="1">IFERROR(__xludf.DUMMYFUNCTION("""COMPUTED_VALUE"""),TRUE)</f>
        <v>1</v>
      </c>
      <c r="N9" s="64" t="b">
        <f ca="1">IFERROR(__xludf.DUMMYFUNCTION("""COMPUTED_VALUE"""),TRUE)</f>
        <v>1</v>
      </c>
      <c r="O9" s="64">
        <f ca="1">IFERROR(__xludf.DUMMYFUNCTION("""COMPUTED_VALUE"""),0)</f>
        <v>0</v>
      </c>
      <c r="P9" s="64" t="str">
        <f ca="1">IFERROR(__xludf.DUMMYFUNCTION("""COMPUTED_VALUE"""),"Common")</f>
        <v>Common</v>
      </c>
      <c r="Q9" s="64" t="str">
        <f ca="1">IFERROR(__xludf.DUMMYFUNCTION("""COMPUTED_VALUE"""),"grave")</f>
        <v>grave</v>
      </c>
      <c r="R9" s="64" t="str">
        <f ca="1">IFERROR(__xludf.DUMMYFUNCTION("""COMPUTED_VALUE"""),"Leaf")</f>
        <v>Leaf</v>
      </c>
      <c r="S9" s="64" t="str">
        <f ca="1">IFERROR(__xludf.DUMMYFUNCTION("""COMPUTED_VALUE"""),"Natural")</f>
        <v>Natural</v>
      </c>
      <c r="T9" s="64" t="str">
        <f ca="1">IFERROR(__xludf.DUMMYFUNCTION("""COMPUTED_VALUE"""),"None")</f>
        <v>None</v>
      </c>
      <c r="U9" s="64" t="str">
        <f ca="1">IFERROR(__xludf.DUMMYFUNCTION("""COMPUTED_VALUE"""),"None")</f>
        <v>None</v>
      </c>
      <c r="V9" s="64" t="str">
        <f ca="1">IFERROR(__xludf.DUMMYFUNCTION("""COMPUTED_VALUE"""),"gravebuster")</f>
        <v>gravebuster</v>
      </c>
      <c r="W9" s="64" t="str">
        <f ca="1">IFERROR(__xludf.DUMMYFUNCTION("""COMPUTED_VALUE"""),"Special")</f>
        <v>Special</v>
      </c>
      <c r="X9" s="64" t="str">
        <f ca="1">IFERROR(__xludf.DUMMYFUNCTION("""COMPUTED_VALUE"""),"PvZ, PvZ 2, PvZ 2 Chinease, PvZ Heroes")</f>
        <v>PvZ, PvZ 2, PvZ 2 Chinease, PvZ Heroes</v>
      </c>
      <c r="Y9" s="65" t="str">
        <f ca="1">IFERROR(__xludf.DUMMYFUNCTION("""COMPUTED_VALUE"""),"https://static.wikia.nocookie.net/plantsvszombies/images/1/1d/Grave_Buster2.png/revision/latest?cb=20221126070428")</f>
        <v>https://static.wikia.nocookie.net/plantsvszombies/images/1/1d/Grave_Buster2.png/revision/latest?cb=20221126070428</v>
      </c>
    </row>
    <row r="10" spans="1:25" x14ac:dyDescent="0.2">
      <c r="A10" s="64">
        <f ca="1">IFERROR(__xludf.DUMMYFUNCTION("""COMPUTED_VALUE"""),9)</f>
        <v>9</v>
      </c>
      <c r="B10" s="64" t="str">
        <f ca="1">IFERROR(__xludf.DUMMYFUNCTION("""COMPUTED_VALUE"""),"Bonk Choy")</f>
        <v>Bonk Choy</v>
      </c>
      <c r="C10" s="64" t="str">
        <f ca="1">IFERROR(__xludf.DUMMYFUNCTION("""COMPUTED_VALUE"""),"Repolho Boxeador")</f>
        <v>Repolho Boxeador</v>
      </c>
      <c r="D10" s="64" t="str">
        <f ca="1">IFERROR(__xludf.DUMMYFUNCTION("""COMPUTED_VALUE"""),"Surra")</f>
        <v>Surra</v>
      </c>
      <c r="E10" s="64" t="str">
        <f ca="1">IFERROR(__xludf.DUMMYFUNCTION("""COMPUTED_VALUE"""),"Golpeia freneticamente os zumbis próximos.")</f>
        <v>Golpeia freneticamente os zumbis próximos.</v>
      </c>
      <c r="F10" s="64">
        <f ca="1">IFERROR(__xludf.DUMMYFUNCTION("""COMPUTED_VALUE"""),150)</f>
        <v>150</v>
      </c>
      <c r="G10" s="64">
        <f ca="1">IFERROR(__xludf.DUMMYFUNCTION("""COMPUTED_VALUE"""),300)</f>
        <v>300</v>
      </c>
      <c r="H10" s="64">
        <f ca="1">IFERROR(__xludf.DUMMYFUNCTION("""COMPUTED_VALUE"""),30)</f>
        <v>30</v>
      </c>
      <c r="I10" s="64">
        <f ca="1">IFERROR(__xludf.DUMMYFUNCTION("""COMPUTED_VALUE"""),5)</f>
        <v>5</v>
      </c>
      <c r="J10" s="64" t="str">
        <f ca="1">IFERROR(__xludf.DUMMYFUNCTION("""COMPUTED_VALUE"""),"Rapidly punches in a 3x3 area around it, dealing heavy damage.")</f>
        <v>Rapidly punches in a 3x3 area around it, dealing heavy damage.</v>
      </c>
      <c r="K10" s="64"/>
      <c r="L10" s="64" t="str">
        <f ca="1">IFERROR(__xludf.DUMMYFUNCTION("""COMPUTED_VALUE"""),"Special - Can attack ahead or behind")</f>
        <v>Special - Can attack ahead or behind</v>
      </c>
      <c r="M10" s="64" t="b">
        <f ca="1">IFERROR(__xludf.DUMMYFUNCTION("""COMPUTED_VALUE"""),FALSE)</f>
        <v>0</v>
      </c>
      <c r="N10" s="64" t="b">
        <f ca="1">IFERROR(__xludf.DUMMYFUNCTION("""COMPUTED_VALUE"""),FALSE)</f>
        <v>0</v>
      </c>
      <c r="O10" s="64">
        <f ca="1">IFERROR(__xludf.DUMMYFUNCTION("""COMPUTED_VALUE"""),0)</f>
        <v>0</v>
      </c>
      <c r="P10" s="64" t="str">
        <f ca="1">IFERROR(__xludf.DUMMYFUNCTION("""COMPUTED_VALUE"""),"Common")</f>
        <v>Common</v>
      </c>
      <c r="Q10" s="64" t="str">
        <f ca="1">IFERROR(__xludf.DUMMYFUNCTION("""COMPUTED_VALUE"""),"attack_backwards")</f>
        <v>attack_backwards</v>
      </c>
      <c r="R10" s="64" t="str">
        <f ca="1">IFERROR(__xludf.DUMMYFUNCTION("""COMPUTED_VALUE"""),"Leaf")</f>
        <v>Leaf</v>
      </c>
      <c r="S10" s="64" t="str">
        <f ca="1">IFERROR(__xludf.DUMMYFUNCTION("""COMPUTED_VALUE"""),"Natural")</f>
        <v>Natural</v>
      </c>
      <c r="T10" s="64" t="str">
        <f ca="1">IFERROR(__xludf.DUMMYFUNCTION("""COMPUTED_VALUE"""),"None")</f>
        <v>None</v>
      </c>
      <c r="U10" s="64" t="str">
        <f ca="1">IFERROR(__xludf.DUMMYFUNCTION("""COMPUTED_VALUE"""),"None")</f>
        <v>None</v>
      </c>
      <c r="V10" s="64" t="str">
        <f ca="1">IFERROR(__xludf.DUMMYFUNCTION("""COMPUTED_VALUE"""),"bonkchoy")</f>
        <v>bonkchoy</v>
      </c>
      <c r="W10" s="64" t="str">
        <f ca="1">IFERROR(__xludf.DUMMYFUNCTION("""COMPUTED_VALUE"""),"Vanguard")</f>
        <v>Vanguard</v>
      </c>
      <c r="X10" s="64" t="str">
        <f ca="1">IFERROR(__xludf.DUMMYFUNCTION("""COMPUTED_VALUE"""),"PvZ 2, PvZ 2 Chinease, PvZ Heroes, PvZ GW 2, PvZ BfN, PvZ 3")</f>
        <v>PvZ 2, PvZ 2 Chinease, PvZ Heroes, PvZ GW 2, PvZ BfN, PvZ 3</v>
      </c>
      <c r="Y10" s="65" t="str">
        <f ca="1">IFERROR(__xludf.DUMMYFUNCTION("""COMPUTED_VALUE"""),"https://static.wikia.nocookie.net/plantsvszombies/images/7/75/Bonk_Choy2.png/revision/latest?cb=20221126070903")</f>
        <v>https://static.wikia.nocookie.net/plantsvszombies/images/7/75/Bonk_Choy2.png/revision/latest?cb=20221126070903</v>
      </c>
    </row>
    <row r="11" spans="1:25" x14ac:dyDescent="0.2">
      <c r="A11" s="64">
        <f ca="1">IFERROR(__xludf.DUMMYFUNCTION("""COMPUTED_VALUE"""),10)</f>
        <v>10</v>
      </c>
      <c r="B11" s="64" t="str">
        <f ca="1">IFERROR(__xludf.DUMMYFUNCTION("""COMPUTED_VALUE"""),"Repeater")</f>
        <v>Repeater</v>
      </c>
      <c r="C11" s="64" t="str">
        <f ca="1">IFERROR(__xludf.DUMMYFUNCTION("""COMPUTED_VALUE"""),"Duplaervilha")</f>
        <v>Duplaervilha</v>
      </c>
      <c r="D11" s="64" t="str">
        <f ca="1">IFERROR(__xludf.DUMMYFUNCTION("""COMPUTED_VALUE"""),"Dispara")</f>
        <v>Dispara</v>
      </c>
      <c r="E11" s="64" t="str">
        <f ca="1">IFERROR(__xludf.DUMMYFUNCTION("""COMPUTED_VALUE"""),"Dispara duas ervilha contra os zumbis.")</f>
        <v>Dispara duas ervilha contra os zumbis.</v>
      </c>
      <c r="F11" s="64">
        <f ca="1">IFERROR(__xludf.DUMMYFUNCTION("""COMPUTED_VALUE"""),200)</f>
        <v>200</v>
      </c>
      <c r="G11" s="64">
        <f ca="1">IFERROR(__xludf.DUMMYFUNCTION("""COMPUTED_VALUE"""),300)</f>
        <v>300</v>
      </c>
      <c r="H11" s="64">
        <f ca="1">IFERROR(__xludf.DUMMYFUNCTION("""COMPUTED_VALUE"""),20)</f>
        <v>20</v>
      </c>
      <c r="I11" s="64">
        <f ca="1">IFERROR(__xludf.DUMMYFUNCTION("""COMPUTED_VALUE"""),5)</f>
        <v>5</v>
      </c>
      <c r="J11" s="64" t="str">
        <f ca="1">IFERROR(__xludf.DUMMYFUNCTION("""COMPUTED_VALUE"""),"Shoots two volleys of peas at zombies in its row.")</f>
        <v>Shoots two volleys of peas at zombies in its row.</v>
      </c>
      <c r="K11" s="64"/>
      <c r="L11" s="64"/>
      <c r="M11" s="64" t="b">
        <f ca="1">IFERROR(__xludf.DUMMYFUNCTION("""COMPUTED_VALUE"""),FALSE)</f>
        <v>0</v>
      </c>
      <c r="N11" s="64" t="b">
        <f ca="1">IFERROR(__xludf.DUMMYFUNCTION("""COMPUTED_VALUE"""),FALSE)</f>
        <v>0</v>
      </c>
      <c r="O11" s="64">
        <f ca="1">IFERROR(__xludf.DUMMYFUNCTION("""COMPUTED_VALUE"""),0)</f>
        <v>0</v>
      </c>
      <c r="P11" s="64" t="str">
        <f ca="1">IFERROR(__xludf.DUMMYFUNCTION("""COMPUTED_VALUE"""),"Common")</f>
        <v>Common</v>
      </c>
      <c r="Q11" s="64"/>
      <c r="R11" s="64" t="str">
        <f ca="1">IFERROR(__xludf.DUMMYFUNCTION("""COMPUTED_VALUE"""),"Pea")</f>
        <v>Pea</v>
      </c>
      <c r="S11" s="64" t="str">
        <f ca="1">IFERROR(__xludf.DUMMYFUNCTION("""COMPUTED_VALUE"""),"Natural")</f>
        <v>Natural</v>
      </c>
      <c r="T11" s="64" t="str">
        <f ca="1">IFERROR(__xludf.DUMMYFUNCTION("""COMPUTED_VALUE"""),"None")</f>
        <v>None</v>
      </c>
      <c r="U11" s="64" t="str">
        <f ca="1">IFERROR(__xludf.DUMMYFUNCTION("""COMPUTED_VALUE"""),"None")</f>
        <v>None</v>
      </c>
      <c r="V11" s="64" t="str">
        <f ca="1">IFERROR(__xludf.DUMMYFUNCTION("""COMPUTED_VALUE"""),"repeater")</f>
        <v>repeater</v>
      </c>
      <c r="W11" s="64" t="str">
        <f ca="1">IFERROR(__xludf.DUMMYFUNCTION("""COMPUTED_VALUE"""),"Ranged")</f>
        <v>Ranged</v>
      </c>
      <c r="X11" s="64" t="str">
        <f ca="1">IFERROR(__xludf.DUMMYFUNCTION("""COMPUTED_VALUE"""),"PvZ, PvZ 2, PvZ 2 Chinease, PvZ Heroes")</f>
        <v>PvZ, PvZ 2, PvZ 2 Chinease, PvZ Heroes</v>
      </c>
      <c r="Y11" s="65" t="str">
        <f ca="1">IFERROR(__xludf.DUMMYFUNCTION("""COMPUTED_VALUE"""),"https://static.wikia.nocookie.net/plantsvszombies/images/9/9f/Repeater2.png/revision/latest?cb=20221126071245")</f>
        <v>https://static.wikia.nocookie.net/plantsvszombies/images/9/9f/Repeater2.png/revision/latest?cb=20221126071245</v>
      </c>
    </row>
    <row r="12" spans="1:25" x14ac:dyDescent="0.2">
      <c r="A12" s="64">
        <f ca="1">IFERROR(__xludf.DUMMYFUNCTION("""COMPUTED_VALUE"""),11)</f>
        <v>11</v>
      </c>
      <c r="B12" s="64" t="str">
        <f ca="1">IFERROR(__xludf.DUMMYFUNCTION("""COMPUTED_VALUE"""),"Twin Sunflower")</f>
        <v>Twin Sunflower</v>
      </c>
      <c r="C12" s="64" t="str">
        <f ca="1">IFERROR(__xludf.DUMMYFUNCTION("""COMPUTED_VALUE"""),"Girassol Gêmeo")</f>
        <v>Girassol Gêmeo</v>
      </c>
      <c r="D12" s="64" t="str">
        <f ca="1">IFERROR(__xludf.DUMMYFUNCTION("""COMPUTED_VALUE"""),"Esclarecida")</f>
        <v>Esclarecida</v>
      </c>
      <c r="E12" s="64" t="str">
        <f ca="1">IFERROR(__xludf.DUMMYFUNCTION("""COMPUTED_VALUE"""),"Produz sóis extras.")</f>
        <v>Produz sóis extras.</v>
      </c>
      <c r="F12" s="64">
        <f ca="1">IFERROR(__xludf.DUMMYFUNCTION("""COMPUTED_VALUE"""),125)</f>
        <v>125</v>
      </c>
      <c r="G12" s="64">
        <f ca="1">IFERROR(__xludf.DUMMYFUNCTION("""COMPUTED_VALUE"""),300)</f>
        <v>300</v>
      </c>
      <c r="H12" s="64">
        <f ca="1">IFERROR(__xludf.DUMMYFUNCTION("""COMPUTED_VALUE"""),0)</f>
        <v>0</v>
      </c>
      <c r="I12" s="64">
        <f ca="1">IFERROR(__xludf.DUMMYFUNCTION("""COMPUTED_VALUE"""),10)</f>
        <v>10</v>
      </c>
      <c r="J12" s="64" t="str">
        <f ca="1">IFERROR(__xludf.DUMMYFUNCTION("""COMPUTED_VALUE"""),"Immediately produces a large amount of sun.")</f>
        <v>Immediately produces a large amount of sun.</v>
      </c>
      <c r="K12" s="64"/>
      <c r="L12" s="64"/>
      <c r="M12" s="64" t="b">
        <f ca="1">IFERROR(__xludf.DUMMYFUNCTION("""COMPUTED_VALUE"""),FALSE)</f>
        <v>0</v>
      </c>
      <c r="N12" s="64" t="b">
        <f ca="1">IFERROR(__xludf.DUMMYFUNCTION("""COMPUTED_VALUE"""),FALSE)</f>
        <v>0</v>
      </c>
      <c r="O12" s="64">
        <f ca="1">IFERROR(__xludf.DUMMYFUNCTION("""COMPUTED_VALUE"""),100)</f>
        <v>100</v>
      </c>
      <c r="P12" s="64" t="str">
        <f ca="1">IFERROR(__xludf.DUMMYFUNCTION("""COMPUTED_VALUE"""),"Uncommon")</f>
        <v>Uncommon</v>
      </c>
      <c r="Q12" s="64"/>
      <c r="R12" s="64" t="str">
        <f ca="1">IFERROR(__xludf.DUMMYFUNCTION("""COMPUTED_VALUE"""),"Flower")</f>
        <v>Flower</v>
      </c>
      <c r="S12" s="64" t="str">
        <f ca="1">IFERROR(__xludf.DUMMYFUNCTION("""COMPUTED_VALUE"""),"Natural")</f>
        <v>Natural</v>
      </c>
      <c r="T12" s="64" t="str">
        <f ca="1">IFERROR(__xludf.DUMMYFUNCTION("""COMPUTED_VALUE"""),"None")</f>
        <v>None</v>
      </c>
      <c r="U12" s="64" t="str">
        <f ca="1">IFERROR(__xludf.DUMMYFUNCTION("""COMPUTED_VALUE"""),"None")</f>
        <v>None</v>
      </c>
      <c r="V12" s="64" t="str">
        <f ca="1">IFERROR(__xludf.DUMMYFUNCTION("""COMPUTED_VALUE"""),"twinsunflower")</f>
        <v>twinsunflower</v>
      </c>
      <c r="W12" s="64" t="str">
        <f ca="1">IFERROR(__xludf.DUMMYFUNCTION("""COMPUTED_VALUE"""),"Sun")</f>
        <v>Sun</v>
      </c>
      <c r="X12" s="64" t="str">
        <f ca="1">IFERROR(__xludf.DUMMYFUNCTION("""COMPUTED_VALUE"""),"PvZ, PvZ 2, PvZ 2 Chinease, PvZ Heroes")</f>
        <v>PvZ, PvZ 2, PvZ 2 Chinease, PvZ Heroes</v>
      </c>
      <c r="Y12" s="65" t="str">
        <f ca="1">IFERROR(__xludf.DUMMYFUNCTION("""COMPUTED_VALUE"""),"https://static.wikia.nocookie.net/plantsvszombies/images/1/1e/Twin_Sunflower2.png/revision/latest?cb=20221126071524")</f>
        <v>https://static.wikia.nocookie.net/plantsvszombies/images/1/1e/Twin_Sunflower2.png/revision/latest?cb=20221126071524</v>
      </c>
    </row>
    <row r="13" spans="1:25" x14ac:dyDescent="0.2">
      <c r="A13" s="64">
        <f ca="1">IFERROR(__xludf.DUMMYFUNCTION("""COMPUTED_VALUE"""),12)</f>
        <v>12</v>
      </c>
      <c r="B13" s="64" t="str">
        <f ca="1">IFERROR(__xludf.DUMMYFUNCTION("""COMPUTED_VALUE"""),"Kernel-pult")</f>
        <v>Kernel-pult</v>
      </c>
      <c r="C13" s="64" t="str">
        <f ca="1">IFERROR(__xludf.DUMMYFUNCTION("""COMPUTED_VALUE"""),"Milho-pulta")</f>
        <v>Milho-pulta</v>
      </c>
      <c r="D13" s="64" t="str">
        <f ca="1">IFERROR(__xludf.DUMMYFUNCTION("""COMPUTED_VALUE"""),"Arma")</f>
        <v>Arma</v>
      </c>
      <c r="E13" s="64" t="str">
        <f ca="1">IFERROR(__xludf.DUMMYFUNCTION("""COMPUTED_VALUE"""),"Ataca zumbis em parábola podendo paralizá-los.")</f>
        <v>Ataca zumbis em parábola podendo paralizá-los.</v>
      </c>
      <c r="F13" s="64">
        <f ca="1">IFERROR(__xludf.DUMMYFUNCTION("""COMPUTED_VALUE"""),100)</f>
        <v>100</v>
      </c>
      <c r="G13" s="64">
        <f ca="1">IFERROR(__xludf.DUMMYFUNCTION("""COMPUTED_VALUE"""),300)</f>
        <v>300</v>
      </c>
      <c r="H13" s="64">
        <f ca="1">IFERROR(__xludf.DUMMYFUNCTION("""COMPUTED_VALUE"""),30)</f>
        <v>30</v>
      </c>
      <c r="I13" s="64">
        <f ca="1">IFERROR(__xludf.DUMMYFUNCTION("""COMPUTED_VALUE"""),5)</f>
        <v>5</v>
      </c>
      <c r="J13" s="64" t="str">
        <f ca="1">IFERROR(__xludf.DUMMYFUNCTION("""COMPUTED_VALUE"""),"Triggers a butter storm that stuns every zombie on the lawn for a few seconds.")</f>
        <v>Triggers a butter storm that stuns every zombie on the lawn for a few seconds.</v>
      </c>
      <c r="K13" s="64"/>
      <c r="L13" s="64"/>
      <c r="M13" s="64" t="b">
        <f ca="1">IFERROR(__xludf.DUMMYFUNCTION("""COMPUTED_VALUE"""),FALSE)</f>
        <v>0</v>
      </c>
      <c r="N13" s="64" t="b">
        <f ca="1">IFERROR(__xludf.DUMMYFUNCTION("""COMPUTED_VALUE"""),FALSE)</f>
        <v>0</v>
      </c>
      <c r="O13" s="64">
        <f ca="1">IFERROR(__xludf.DUMMYFUNCTION("""COMPUTED_VALUE"""),0)</f>
        <v>0</v>
      </c>
      <c r="P13" s="64" t="str">
        <f ca="1">IFERROR(__xludf.DUMMYFUNCTION("""COMPUTED_VALUE"""),"Common")</f>
        <v>Common</v>
      </c>
      <c r="Q13" s="64" t="str">
        <f ca="1">IFERROR(__xludf.DUMMYFUNCTION("""COMPUTED_VALUE"""),"butter")</f>
        <v>butter</v>
      </c>
      <c r="R13" s="64" t="str">
        <f ca="1">IFERROR(__xludf.DUMMYFUNCTION("""COMPUTED_VALUE"""),"Fruit")</f>
        <v>Fruit</v>
      </c>
      <c r="S13" s="64" t="str">
        <f ca="1">IFERROR(__xludf.DUMMYFUNCTION("""COMPUTED_VALUE"""),"Natural")</f>
        <v>Natural</v>
      </c>
      <c r="T13" s="64" t="str">
        <f ca="1">IFERROR(__xludf.DUMMYFUNCTION("""COMPUTED_VALUE"""),"None")</f>
        <v>None</v>
      </c>
      <c r="U13" s="64" t="str">
        <f ca="1">IFERROR(__xludf.DUMMYFUNCTION("""COMPUTED_VALUE"""),"None")</f>
        <v>None</v>
      </c>
      <c r="V13" s="64" t="str">
        <f ca="1">IFERROR(__xludf.DUMMYFUNCTION("""COMPUTED_VALUE"""),"kernelpult")</f>
        <v>kernelpult</v>
      </c>
      <c r="W13" s="64" t="str">
        <f ca="1">IFERROR(__xludf.DUMMYFUNCTION("""COMPUTED_VALUE"""),"Ranged")</f>
        <v>Ranged</v>
      </c>
      <c r="X13" s="64" t="str">
        <f ca="1">IFERROR(__xludf.DUMMYFUNCTION("""COMPUTED_VALUE"""),"PvZ, PvZ 2, PvZ 2 Chinease, PvZ Heroes")</f>
        <v>PvZ, PvZ 2, PvZ 2 Chinease, PvZ Heroes</v>
      </c>
      <c r="Y13" s="65" t="str">
        <f ca="1">IFERROR(__xludf.DUMMYFUNCTION("""COMPUTED_VALUE"""),"https://static.wikia.nocookie.net/plantsvszombies/images/b/b4/Kernel-pult2.png/revision/latest?cb=20221126072120")</f>
        <v>https://static.wikia.nocookie.net/plantsvszombies/images/b/b4/Kernel-pult2.png/revision/latest?cb=20221126072120</v>
      </c>
    </row>
    <row r="14" spans="1:25" x14ac:dyDescent="0.2">
      <c r="A14" s="64">
        <f ca="1">IFERROR(__xludf.DUMMYFUNCTION("""COMPUTED_VALUE"""),13)</f>
        <v>13</v>
      </c>
      <c r="B14" s="64" t="str">
        <f ca="1">IFERROR(__xludf.DUMMYFUNCTION("""COMPUTED_VALUE"""),"Snapdragon")</f>
        <v>Snapdragon</v>
      </c>
      <c r="C14" s="64" t="str">
        <f ca="1">IFERROR(__xludf.DUMMYFUNCTION("""COMPUTED_VALUE"""),"Boca-de-Dragão")</f>
        <v>Boca-de-Dragão</v>
      </c>
      <c r="D14" s="64" t="str">
        <f ca="1">IFERROR(__xludf.DUMMYFUNCTION("""COMPUTED_VALUE"""),"Aquecida")</f>
        <v>Aquecida</v>
      </c>
      <c r="E14" s="64" t="str">
        <f ca="1">IFERROR(__xludf.DUMMYFUNCTION("""COMPUTED_VALUE"""),"Incendeia zumbis próximos.")</f>
        <v>Incendeia zumbis próximos.</v>
      </c>
      <c r="F14" s="64">
        <f ca="1">IFERROR(__xludf.DUMMYFUNCTION("""COMPUTED_VALUE"""),150)</f>
        <v>150</v>
      </c>
      <c r="G14" s="64">
        <f ca="1">IFERROR(__xludf.DUMMYFUNCTION("""COMPUTED_VALUE"""),300)</f>
        <v>300</v>
      </c>
      <c r="H14" s="64">
        <f ca="1">IFERROR(__xludf.DUMMYFUNCTION("""COMPUTED_VALUE"""),30)</f>
        <v>30</v>
      </c>
      <c r="I14" s="64">
        <f ca="1">IFERROR(__xludf.DUMMYFUNCTION("""COMPUTED_VALUE"""),5)</f>
        <v>5</v>
      </c>
      <c r="J14" s="64" t="str">
        <f ca="1">IFERROR(__xludf.DUMMYFUNCTION("""COMPUTED_VALUE"""),"Sets the area in front of it on fire, dealing heavy damage to zombies.")</f>
        <v>Sets the area in front of it on fire, dealing heavy damage to zombies.</v>
      </c>
      <c r="K14" s="64" t="str">
        <f ca="1">IFERROR(__xludf.DUMMYFUNCTION("""COMPUTED_VALUE"""),"Damages all zombies in the 6 tiles in front of it")</f>
        <v>Damages all zombies in the 6 tiles in front of it</v>
      </c>
      <c r="L14" s="64"/>
      <c r="M14" s="64" t="b">
        <f ca="1">IFERROR(__xludf.DUMMYFUNCTION("""COMPUTED_VALUE"""),FALSE)</f>
        <v>0</v>
      </c>
      <c r="N14" s="64" t="b">
        <f ca="1">IFERROR(__xludf.DUMMYFUNCTION("""COMPUTED_VALUE"""),FALSE)</f>
        <v>0</v>
      </c>
      <c r="O14" s="64">
        <f ca="1">IFERROR(__xludf.DUMMYFUNCTION("""COMPUTED_VALUE"""),0)</f>
        <v>0</v>
      </c>
      <c r="P14" s="64" t="str">
        <f ca="1">IFERROR(__xludf.DUMMYFUNCTION("""COMPUTED_VALUE"""),"Common")</f>
        <v>Common</v>
      </c>
      <c r="Q14" s="64" t="str">
        <f ca="1">IFERROR(__xludf.DUMMYFUNCTION("""COMPUTED_VALUE"""),"dragon, area-effect")</f>
        <v>dragon, area-effect</v>
      </c>
      <c r="R14" s="64" t="str">
        <f ca="1">IFERROR(__xludf.DUMMYFUNCTION("""COMPUTED_VALUE"""),"Flower")</f>
        <v>Flower</v>
      </c>
      <c r="S14" s="64" t="str">
        <f ca="1">IFERROR(__xludf.DUMMYFUNCTION("""COMPUTED_VALUE"""),"Natural")</f>
        <v>Natural</v>
      </c>
      <c r="T14" s="64" t="str">
        <f ca="1">IFERROR(__xludf.DUMMYFUNCTION("""COMPUTED_VALUE"""),"None")</f>
        <v>None</v>
      </c>
      <c r="U14" s="64" t="str">
        <f ca="1">IFERROR(__xludf.DUMMYFUNCTION("""COMPUTED_VALUE"""),"None")</f>
        <v>None</v>
      </c>
      <c r="V14" s="64" t="str">
        <f ca="1">IFERROR(__xludf.DUMMYFUNCTION("""COMPUTED_VALUE"""),"snapdragon")</f>
        <v>snapdragon</v>
      </c>
      <c r="W14" s="64" t="str">
        <f ca="1">IFERROR(__xludf.DUMMYFUNCTION("""COMPUTED_VALUE"""),"Vanguard")</f>
        <v>Vanguard</v>
      </c>
      <c r="X14" s="64" t="str">
        <f ca="1">IFERROR(__xludf.DUMMYFUNCTION("""COMPUTED_VALUE"""),"PvZ 2, PvZ 2 Chinease, PvZ Heroes, PvZ GW 2, PvZ BfN")</f>
        <v>PvZ 2, PvZ 2 Chinease, PvZ Heroes, PvZ GW 2, PvZ BfN</v>
      </c>
      <c r="Y14" s="65" t="str">
        <f ca="1">IFERROR(__xludf.DUMMYFUNCTION("""COMPUTED_VALUE"""),"https://static.wikia.nocookie.net/plantsvszombies/images/f/f8/Snapdragon2.png/revision/latest?cb=20221126072250")</f>
        <v>https://static.wikia.nocookie.net/plantsvszombies/images/f/f8/Snapdragon2.png/revision/latest?cb=20221126072250</v>
      </c>
    </row>
    <row r="15" spans="1:25" x14ac:dyDescent="0.2">
      <c r="A15" s="64">
        <f ca="1">IFERROR(__xludf.DUMMYFUNCTION("""COMPUTED_VALUE"""),14)</f>
        <v>14</v>
      </c>
      <c r="B15" s="64" t="str">
        <f ca="1">IFERROR(__xludf.DUMMYFUNCTION("""COMPUTED_VALUE"""),"Spikeweed")</f>
        <v>Spikeweed</v>
      </c>
      <c r="C15" s="64" t="str">
        <f ca="1">IFERROR(__xludf.DUMMYFUNCTION("""COMPUTED_VALUE"""),"Erva-espinho")</f>
        <v>Erva-espinho</v>
      </c>
      <c r="D15" s="64" t="str">
        <f ca="1">IFERROR(__xludf.DUMMYFUNCTION("""COMPUTED_VALUE"""),"Perfura")</f>
        <v>Perfura</v>
      </c>
      <c r="E15" s="64" t="str">
        <f ca="1">IFERROR(__xludf.DUMMYFUNCTION("""COMPUTED_VALUE"""),"Machuca os zumbis que passam por ele.")</f>
        <v>Machuca os zumbis que passam por ele.</v>
      </c>
      <c r="F15" s="64">
        <f ca="1">IFERROR(__xludf.DUMMYFUNCTION("""COMPUTED_VALUE"""),100)</f>
        <v>100</v>
      </c>
      <c r="G15" s="64">
        <f ca="1">IFERROR(__xludf.DUMMYFUNCTION("""COMPUTED_VALUE"""),300)</f>
        <v>300</v>
      </c>
      <c r="H15" s="64">
        <f ca="1">IFERROR(__xludf.DUMMYFUNCTION("""COMPUTED_VALUE"""),10)</f>
        <v>10</v>
      </c>
      <c r="I15" s="64">
        <f ca="1">IFERROR(__xludf.DUMMYFUNCTION("""COMPUTED_VALUE"""),5)</f>
        <v>5</v>
      </c>
      <c r="J15" s="64" t="str">
        <f ca="1">IFERROR(__xludf.DUMMYFUNCTION("""COMPUTED_VALUE"""),"Spikes push all zombies in its lane onto itself, damaging them in the process.")</f>
        <v>Spikes push all zombies in its lane onto itself, damaging them in the process.</v>
      </c>
      <c r="K15" s="64"/>
      <c r="L15" s="64" t="str">
        <f ca="1">IFERROR(__xludf.DUMMYFUNCTION("""COMPUTED_VALUE"""),"Special - Can't be eaten by zombies")</f>
        <v>Special - Can't be eaten by zombies</v>
      </c>
      <c r="M15" s="64" t="b">
        <f ca="1">IFERROR(__xludf.DUMMYFUNCTION("""COMPUTED_VALUE"""),FALSE)</f>
        <v>0</v>
      </c>
      <c r="N15" s="64" t="b">
        <f ca="1">IFERROR(__xludf.DUMMYFUNCTION("""COMPUTED_VALUE"""),FALSE)</f>
        <v>0</v>
      </c>
      <c r="O15" s="64">
        <f ca="1">IFERROR(__xludf.DUMMYFUNCTION("""COMPUTED_VALUE"""),0)</f>
        <v>0</v>
      </c>
      <c r="P15" s="64" t="str">
        <f ca="1">IFERROR(__xludf.DUMMYFUNCTION("""COMPUTED_VALUE"""),"Common")</f>
        <v>Common</v>
      </c>
      <c r="Q15" s="64" t="str">
        <f ca="1">IFERROR(__xludf.DUMMYFUNCTION("""COMPUTED_VALUE"""),"grounded, spikes")</f>
        <v>grounded, spikes</v>
      </c>
      <c r="R15" s="64" t="str">
        <f ca="1">IFERROR(__xludf.DUMMYFUNCTION("""COMPUTED_VALUE"""),"Root")</f>
        <v>Root</v>
      </c>
      <c r="S15" s="64" t="str">
        <f ca="1">IFERROR(__xludf.DUMMYFUNCTION("""COMPUTED_VALUE"""),"Natural")</f>
        <v>Natural</v>
      </c>
      <c r="T15" s="64" t="str">
        <f ca="1">IFERROR(__xludf.DUMMYFUNCTION("""COMPUTED_VALUE"""),"None")</f>
        <v>None</v>
      </c>
      <c r="U15" s="64" t="str">
        <f ca="1">IFERROR(__xludf.DUMMYFUNCTION("""COMPUTED_VALUE"""),"None")</f>
        <v>None</v>
      </c>
      <c r="V15" s="64" t="str">
        <f ca="1">IFERROR(__xludf.DUMMYFUNCTION("""COMPUTED_VALUE"""),"spikeweed")</f>
        <v>spikeweed</v>
      </c>
      <c r="W15" s="64" t="str">
        <f ca="1">IFERROR(__xludf.DUMMYFUNCTION("""COMPUTED_VALUE"""),"Special")</f>
        <v>Special</v>
      </c>
      <c r="X15" s="64" t="str">
        <f ca="1">IFERROR(__xludf.DUMMYFUNCTION("""COMPUTED_VALUE"""),"PvZ, PvZ 2, PvZ 2 Chinease, PvZ Heroes, PvZ GW, PvZ GW 2, PvZ BfN")</f>
        <v>PvZ, PvZ 2, PvZ 2 Chinease, PvZ Heroes, PvZ GW, PvZ GW 2, PvZ BfN</v>
      </c>
      <c r="Y15" s="65" t="str">
        <f ca="1">IFERROR(__xludf.DUMMYFUNCTION("""COMPUTED_VALUE"""),"https://static.wikia.nocookie.net/plantsvszombies/images/0/07/Spikeweed2.png/revision/latest?cb=20221206063052")</f>
        <v>https://static.wikia.nocookie.net/plantsvszombies/images/0/07/Spikeweed2.png/revision/latest?cb=20221206063052</v>
      </c>
    </row>
    <row r="16" spans="1:25" x14ac:dyDescent="0.2">
      <c r="A16" s="64">
        <f ca="1">IFERROR(__xludf.DUMMYFUNCTION("""COMPUTED_VALUE"""),15)</f>
        <v>15</v>
      </c>
      <c r="B16" s="64" t="str">
        <f ca="1">IFERROR(__xludf.DUMMYFUNCTION("""COMPUTED_VALUE"""),"Spring Bean")</f>
        <v>Spring Bean</v>
      </c>
      <c r="C16" s="64" t="str">
        <f ca="1">IFERROR(__xludf.DUMMYFUNCTION("""COMPUTED_VALUE"""),"Feijão Mola")</f>
        <v>Feijão Mola</v>
      </c>
      <c r="D16" s="64" t="str">
        <f ca="1">IFERROR(__xludf.DUMMYFUNCTION("""COMPUTED_VALUE"""),"Refrea")</f>
        <v>Refrea</v>
      </c>
      <c r="E16" s="64" t="str">
        <f ca="1">IFERROR(__xludf.DUMMYFUNCTION("""COMPUTED_VALUE"""),"Empura um zumbi, entrando em modo de descanso.")</f>
        <v>Empura um zumbi, entrando em modo de descanso.</v>
      </c>
      <c r="F16" s="64">
        <f ca="1">IFERROR(__xludf.DUMMYFUNCTION("""COMPUTED_VALUE"""),50)</f>
        <v>50</v>
      </c>
      <c r="G16" s="64">
        <f ca="1">IFERROR(__xludf.DUMMYFUNCTION("""COMPUTED_VALUE"""),300)</f>
        <v>300</v>
      </c>
      <c r="H16" s="64">
        <f ca="1">IFERROR(__xludf.DUMMYFUNCTION("""COMPUTED_VALUE"""),0)</f>
        <v>0</v>
      </c>
      <c r="I16" s="64">
        <f ca="1">IFERROR(__xludf.DUMMYFUNCTION("""COMPUTED_VALUE"""),20)</f>
        <v>20</v>
      </c>
      <c r="J16" s="64" t="str">
        <f ca="1">IFERROR(__xludf.DUMMYFUNCTION("""COMPUTED_VALUE"""),"Knocks back all zombies on the lawn back a tile or into the water.")</f>
        <v>Knocks back all zombies on the lawn back a tile or into the water.</v>
      </c>
      <c r="K16" s="64" t="str">
        <f ca="1">IFERROR(__xludf.DUMMYFUNCTION("""COMPUTED_VALUE"""),"Gets sleepy after springing")</f>
        <v>Gets sleepy after springing</v>
      </c>
      <c r="L16" s="64" t="str">
        <f ca="1">IFERROR(__xludf.DUMMYFUNCTION("""COMPUTED_VALUE"""),"Special - Pushes zombies back, or into the water")</f>
        <v>Special - Pushes zombies back, or into the water</v>
      </c>
      <c r="M16" s="64" t="b">
        <f ca="1">IFERROR(__xludf.DUMMYFUNCTION("""COMPUTED_VALUE"""),FALSE)</f>
        <v>0</v>
      </c>
      <c r="N16" s="64" t="b">
        <f ca="1">IFERROR(__xludf.DUMMYFUNCTION("""COMPUTED_VALUE"""),FALSE)</f>
        <v>0</v>
      </c>
      <c r="O16" s="64">
        <f ca="1">IFERROR(__xludf.DUMMYFUNCTION("""COMPUTED_VALUE"""),0)</f>
        <v>0</v>
      </c>
      <c r="P16" s="64" t="str">
        <f ca="1">IFERROR(__xludf.DUMMYFUNCTION("""COMPUTED_VALUE"""),"Common")</f>
        <v>Common</v>
      </c>
      <c r="Q16" s="64" t="str">
        <f ca="1">IFERROR(__xludf.DUMMYFUNCTION("""COMPUTED_VALUE"""),"control")</f>
        <v>control</v>
      </c>
      <c r="R16" s="64" t="str">
        <f ca="1">IFERROR(__xludf.DUMMYFUNCTION("""COMPUTED_VALUE"""),"Bean")</f>
        <v>Bean</v>
      </c>
      <c r="S16" s="64" t="str">
        <f ca="1">IFERROR(__xludf.DUMMYFUNCTION("""COMPUTED_VALUE"""),"Natural")</f>
        <v>Natural</v>
      </c>
      <c r="T16" s="64" t="str">
        <f ca="1">IFERROR(__xludf.DUMMYFUNCTION("""COMPUTED_VALUE"""),"None")</f>
        <v>None</v>
      </c>
      <c r="U16" s="64" t="str">
        <f ca="1">IFERROR(__xludf.DUMMYFUNCTION("""COMPUTED_VALUE"""),"None")</f>
        <v>None</v>
      </c>
      <c r="V16" s="64" t="str">
        <f ca="1">IFERROR(__xludf.DUMMYFUNCTION("""COMPUTED_VALUE"""),"springbean")</f>
        <v>springbean</v>
      </c>
      <c r="W16" s="64" t="str">
        <f ca="1">IFERROR(__xludf.DUMMYFUNCTION("""COMPUTED_VALUE"""),"Special")</f>
        <v>Special</v>
      </c>
      <c r="X16" s="64" t="str">
        <f ca="1">IFERROR(__xludf.DUMMYFUNCTION("""COMPUTED_VALUE"""),"PvZ 2, PvZ 2 Chinease, PvZ Heroes")</f>
        <v>PvZ 2, PvZ 2 Chinease, PvZ Heroes</v>
      </c>
      <c r="Y16" s="65" t="str">
        <f ca="1">IFERROR(__xludf.DUMMYFUNCTION("""COMPUTED_VALUE"""),"https://static.wikia.nocookie.net/plantsvszombies/images/5/5a/Spring_Bean2.png/revision/latest?cb=20221206063417")</f>
        <v>https://static.wikia.nocookie.net/plantsvszombies/images/5/5a/Spring_Bean2.png/revision/latest?cb=20221206063417</v>
      </c>
    </row>
    <row r="17" spans="1:25" x14ac:dyDescent="0.2">
      <c r="A17" s="64">
        <f ca="1">IFERROR(__xludf.DUMMYFUNCTION("""COMPUTED_VALUE"""),16)</f>
        <v>16</v>
      </c>
      <c r="B17" s="64" t="str">
        <f ca="1">IFERROR(__xludf.DUMMYFUNCTION("""COMPUTED_VALUE"""),"Coconout Cannon")</f>
        <v>Coconout Cannon</v>
      </c>
      <c r="C17" s="64" t="str">
        <f ca="1">IFERROR(__xludf.DUMMYFUNCTION("""COMPUTED_VALUE"""),"Canhão Coco")</f>
        <v>Canhão Coco</v>
      </c>
      <c r="D17" s="64" t="str">
        <f ca="1">IFERROR(__xludf.DUMMYFUNCTION("""COMPUTED_VALUE"""),"Arma")</f>
        <v>Arma</v>
      </c>
      <c r="E17" s="64" t="str">
        <f ca="1">IFERROR(__xludf.DUMMYFUNCTION("""COMPUTED_VALUE"""),"Dispara um projétil poderoso, entrando em modo de recarga.")</f>
        <v>Dispara um projétil poderoso, entrando em modo de recarga.</v>
      </c>
      <c r="F17" s="64">
        <f ca="1">IFERROR(__xludf.DUMMYFUNCTION("""COMPUTED_VALUE"""),400)</f>
        <v>400</v>
      </c>
      <c r="G17" s="64">
        <f ca="1">IFERROR(__xludf.DUMMYFUNCTION("""COMPUTED_VALUE"""),300)</f>
        <v>300</v>
      </c>
      <c r="H17" s="64">
        <f ca="1">IFERROR(__xludf.DUMMYFUNCTION("""COMPUTED_VALUE"""),900)</f>
        <v>900</v>
      </c>
      <c r="I17" s="64">
        <f ca="1">IFERROR(__xludf.DUMMYFUNCTION("""COMPUTED_VALUE"""),5)</f>
        <v>5</v>
      </c>
      <c r="J17" s="64" t="str">
        <f ca="1">IFERROR(__xludf.DUMMYFUNCTION("""COMPUTED_VALUE"""),"Fires a huge cannonball that pushes the zombies it hits to the right side of the lawn and then explodes.")</f>
        <v>Fires a huge cannonball that pushes the zombies it hits to the right side of the lawn and then explodes.</v>
      </c>
      <c r="K17" s="64"/>
      <c r="L17" s="64" t="str">
        <f ca="1">IFERROR(__xludf.DUMMYFUNCTION("""COMPUTED_VALUE"""),"Special - On impact, explodes in medium area")</f>
        <v>Special - On impact, explodes in medium area</v>
      </c>
      <c r="M17" s="64" t="b">
        <f ca="1">IFERROR(__xludf.DUMMYFUNCTION("""COMPUTED_VALUE"""),FALSE)</f>
        <v>0</v>
      </c>
      <c r="N17" s="64" t="b">
        <f ca="1">IFERROR(__xludf.DUMMYFUNCTION("""COMPUTED_VALUE"""),FALSE)</f>
        <v>0</v>
      </c>
      <c r="O17" s="64">
        <f ca="1">IFERROR(__xludf.DUMMYFUNCTION("""COMPUTED_VALUE"""),0)</f>
        <v>0</v>
      </c>
      <c r="P17" s="64" t="str">
        <f ca="1">IFERROR(__xludf.DUMMYFUNCTION("""COMPUTED_VALUE"""),"Common")</f>
        <v>Common</v>
      </c>
      <c r="Q17" s="64" t="str">
        <f ca="1">IFERROR(__xludf.DUMMYFUNCTION("""COMPUTED_VALUE"""),"explosion, area-effect")</f>
        <v>explosion, area-effect</v>
      </c>
      <c r="R17" s="64" t="str">
        <f ca="1">IFERROR(__xludf.DUMMYFUNCTION("""COMPUTED_VALUE"""),"Fruit")</f>
        <v>Fruit</v>
      </c>
      <c r="S17" s="64" t="str">
        <f ca="1">IFERROR(__xludf.DUMMYFUNCTION("""COMPUTED_VALUE"""),"Natural")</f>
        <v>Natural</v>
      </c>
      <c r="T17" s="64" t="str">
        <f ca="1">IFERROR(__xludf.DUMMYFUNCTION("""COMPUTED_VALUE"""),"None")</f>
        <v>None</v>
      </c>
      <c r="U17" s="64" t="str">
        <f ca="1">IFERROR(__xludf.DUMMYFUNCTION("""COMPUTED_VALUE"""),"None")</f>
        <v>None</v>
      </c>
      <c r="V17" s="64" t="str">
        <f ca="1">IFERROR(__xludf.DUMMYFUNCTION("""COMPUTED_VALUE"""),"coconutcannon")</f>
        <v>coconutcannon</v>
      </c>
      <c r="W17" s="64" t="str">
        <f ca="1">IFERROR(__xludf.DUMMYFUNCTION("""COMPUTED_VALUE"""),"Ranged")</f>
        <v>Ranged</v>
      </c>
      <c r="X17" s="64" t="str">
        <f ca="1">IFERROR(__xludf.DUMMYFUNCTION("""COMPUTED_VALUE"""),"PvZ 2, PvZ 2 Chinease")</f>
        <v>PvZ 2, PvZ 2 Chinease</v>
      </c>
      <c r="Y17" s="65" t="str">
        <f ca="1">IFERROR(__xludf.DUMMYFUNCTION("""COMPUTED_VALUE"""),"https://static.wikia.nocookie.net/plantsvszombies/images/2/21/Coconut_Cannon2.png/revision/latest?cb=20221206063716")</f>
        <v>https://static.wikia.nocookie.net/plantsvszombies/images/2/21/Coconut_Cannon2.png/revision/latest?cb=20221206063716</v>
      </c>
    </row>
    <row r="18" spans="1:25" x14ac:dyDescent="0.2">
      <c r="A18" s="64">
        <f ca="1">IFERROR(__xludf.DUMMYFUNCTION("""COMPUTED_VALUE"""),17)</f>
        <v>17</v>
      </c>
      <c r="B18" s="64" t="str">
        <f ca="1">IFERROR(__xludf.DUMMYFUNCTION("""COMPUTED_VALUE"""),"Threepeater")</f>
        <v>Threepeater</v>
      </c>
      <c r="C18" s="64" t="str">
        <f ca="1">IFERROR(__xludf.DUMMYFUNCTION("""COMPUTED_VALUE"""),"Tridisparervilha")</f>
        <v>Tridisparervilha</v>
      </c>
      <c r="D18" s="64" t="str">
        <f ca="1">IFERROR(__xludf.DUMMYFUNCTION("""COMPUTED_VALUE"""),"Dispara")</f>
        <v>Dispara</v>
      </c>
      <c r="E18" s="64" t="str">
        <f ca="1">IFERROR(__xludf.DUMMYFUNCTION("""COMPUTED_VALUE"""),"Dispara uma ervilha contra os zumbis desta fila e das adjacentes.")</f>
        <v>Dispara uma ervilha contra os zumbis desta fila e das adjacentes.</v>
      </c>
      <c r="F18" s="64">
        <f ca="1">IFERROR(__xludf.DUMMYFUNCTION("""COMPUTED_VALUE"""),300)</f>
        <v>300</v>
      </c>
      <c r="G18" s="64">
        <f ca="1">IFERROR(__xludf.DUMMYFUNCTION("""COMPUTED_VALUE"""),300)</f>
        <v>300</v>
      </c>
      <c r="H18" s="64">
        <f ca="1">IFERROR(__xludf.DUMMYFUNCTION("""COMPUTED_VALUE"""),20)</f>
        <v>20</v>
      </c>
      <c r="I18" s="64">
        <f ca="1">IFERROR(__xludf.DUMMYFUNCTION("""COMPUTED_VALUE"""),5)</f>
        <v>5</v>
      </c>
      <c r="J18" s="64" t="str">
        <f ca="1">IFERROR(__xludf.DUMMYFUNCTION("""COMPUTED_VALUE"""),"Shoots a spread of peas in multiple directions, dealing damage.")</f>
        <v>Shoots a spread of peas in multiple directions, dealing damage.</v>
      </c>
      <c r="K18" s="64"/>
      <c r="L18" s="64"/>
      <c r="M18" s="64" t="b">
        <f ca="1">IFERROR(__xludf.DUMMYFUNCTION("""COMPUTED_VALUE"""),FALSE)</f>
        <v>0</v>
      </c>
      <c r="N18" s="64" t="b">
        <f ca="1">IFERROR(__xludf.DUMMYFUNCTION("""COMPUTED_VALUE"""),FALSE)</f>
        <v>0</v>
      </c>
      <c r="O18" s="64">
        <f ca="1">IFERROR(__xludf.DUMMYFUNCTION("""COMPUTED_VALUE"""),0)</f>
        <v>0</v>
      </c>
      <c r="P18" s="64" t="str">
        <f ca="1">IFERROR(__xludf.DUMMYFUNCTION("""COMPUTED_VALUE"""),"Uncommon")</f>
        <v>Uncommon</v>
      </c>
      <c r="Q18" s="64"/>
      <c r="R18" s="64" t="str">
        <f ca="1">IFERROR(__xludf.DUMMYFUNCTION("""COMPUTED_VALUE"""),"Pea")</f>
        <v>Pea</v>
      </c>
      <c r="S18" s="64" t="str">
        <f ca="1">IFERROR(__xludf.DUMMYFUNCTION("""COMPUTED_VALUE"""),"Natural")</f>
        <v>Natural</v>
      </c>
      <c r="T18" s="64" t="str">
        <f ca="1">IFERROR(__xludf.DUMMYFUNCTION("""COMPUTED_VALUE"""),"None")</f>
        <v>None</v>
      </c>
      <c r="U18" s="64" t="str">
        <f ca="1">IFERROR(__xludf.DUMMYFUNCTION("""COMPUTED_VALUE"""),"None")</f>
        <v>None</v>
      </c>
      <c r="V18" s="64" t="str">
        <f ca="1">IFERROR(__xludf.DUMMYFUNCTION("""COMPUTED_VALUE"""),"threepeater")</f>
        <v>threepeater</v>
      </c>
      <c r="W18" s="64" t="str">
        <f ca="1">IFERROR(__xludf.DUMMYFUNCTION("""COMPUTED_VALUE"""),"Ranged")</f>
        <v>Ranged</v>
      </c>
      <c r="X18" s="64" t="str">
        <f ca="1">IFERROR(__xludf.DUMMYFUNCTION("""COMPUTED_VALUE"""),"PvZ, PvZ 2, PvZ 2 Chinease, PvZ Heroes")</f>
        <v>PvZ, PvZ 2, PvZ 2 Chinease, PvZ Heroes</v>
      </c>
      <c r="Y18" s="65" t="str">
        <f ca="1">IFERROR(__xludf.DUMMYFUNCTION("""COMPUTED_VALUE"""),"https://static.wikia.nocookie.net/plantsvszombies/images/e/ed/Threepeater2.png/revision/latest?cb=20221206063521")</f>
        <v>https://static.wikia.nocookie.net/plantsvszombies/images/e/ed/Threepeater2.png/revision/latest?cb=20221206063521</v>
      </c>
    </row>
    <row r="19" spans="1:25" x14ac:dyDescent="0.2">
      <c r="A19" s="64">
        <f ca="1">IFERROR(__xludf.DUMMYFUNCTION("""COMPUTED_VALUE"""),18)</f>
        <v>18</v>
      </c>
      <c r="B19" s="64" t="str">
        <f ca="1">IFERROR(__xludf.DUMMYFUNCTION("""COMPUTED_VALUE"""),"Spikerock")</f>
        <v>Spikerock</v>
      </c>
      <c r="C19" s="64" t="str">
        <f ca="1">IFERROR(__xludf.DUMMYFUNCTION("""COMPUTED_VALUE"""),"Pedra-Espinho")</f>
        <v>Pedra-Espinho</v>
      </c>
      <c r="D19" s="64" t="str">
        <f ca="1">IFERROR(__xludf.DUMMYFUNCTION("""COMPUTED_VALUE"""),"Perfura")</f>
        <v>Perfura</v>
      </c>
      <c r="E19" s="64" t="str">
        <f ca="1">IFERROR(__xludf.DUMMYFUNCTION("""COMPUTED_VALUE"""),"Machuca os zumbis que passam por ele sendo mais resistente.")</f>
        <v>Machuca os zumbis que passam por ele sendo mais resistente.</v>
      </c>
      <c r="F19" s="64">
        <f ca="1">IFERROR(__xludf.DUMMYFUNCTION("""COMPUTED_VALUE"""),250)</f>
        <v>250</v>
      </c>
      <c r="G19" s="64">
        <f ca="1">IFERROR(__xludf.DUMMYFUNCTION("""COMPUTED_VALUE"""),300)</f>
        <v>300</v>
      </c>
      <c r="H19" s="64">
        <f ca="1">IFERROR(__xludf.DUMMYFUNCTION("""COMPUTED_VALUE"""),20)</f>
        <v>20</v>
      </c>
      <c r="I19" s="64">
        <f ca="1">IFERROR(__xludf.DUMMYFUNCTION("""COMPUTED_VALUE"""),5)</f>
        <v>5</v>
      </c>
      <c r="J19" s="64" t="str">
        <f ca="1">IFERROR(__xludf.DUMMYFUNCTION("""COMPUTED_VALUE"""),"Metal spikes push all zombies in its lane onto itself, damaging them in the process.")</f>
        <v>Metal spikes push all zombies in its lane onto itself, damaging them in the process.</v>
      </c>
      <c r="K19" s="64"/>
      <c r="L19" s="64" t="str">
        <f ca="1">IFERROR(__xludf.DUMMYFUNCTION("""COMPUTED_VALUE"""),"Special - Can't be eaten by zombies")</f>
        <v>Special - Can't be eaten by zombies</v>
      </c>
      <c r="M19" s="64" t="b">
        <f ca="1">IFERROR(__xludf.DUMMYFUNCTION("""COMPUTED_VALUE"""),FALSE)</f>
        <v>0</v>
      </c>
      <c r="N19" s="64" t="b">
        <f ca="1">IFERROR(__xludf.DUMMYFUNCTION("""COMPUTED_VALUE"""),FALSE)</f>
        <v>0</v>
      </c>
      <c r="O19" s="64">
        <f ca="1">IFERROR(__xludf.DUMMYFUNCTION("""COMPUTED_VALUE"""),0)</f>
        <v>0</v>
      </c>
      <c r="P19" s="64" t="str">
        <f ca="1">IFERROR(__xludf.DUMMYFUNCTION("""COMPUTED_VALUE"""),"Rare")</f>
        <v>Rare</v>
      </c>
      <c r="Q19" s="64" t="str">
        <f ca="1">IFERROR(__xludf.DUMMYFUNCTION("""COMPUTED_VALUE"""),"grounded, spikes")</f>
        <v>grounded, spikes</v>
      </c>
      <c r="R19" s="64" t="str">
        <f ca="1">IFERROR(__xludf.DUMMYFUNCTION("""COMPUTED_VALUE"""),"Root")</f>
        <v>Root</v>
      </c>
      <c r="S19" s="64" t="str">
        <f ca="1">IFERROR(__xludf.DUMMYFUNCTION("""COMPUTED_VALUE"""),"Natural")</f>
        <v>Natural</v>
      </c>
      <c r="T19" s="64" t="str">
        <f ca="1">IFERROR(__xludf.DUMMYFUNCTION("""COMPUTED_VALUE"""),"None")</f>
        <v>None</v>
      </c>
      <c r="U19" s="64" t="str">
        <f ca="1">IFERROR(__xludf.DUMMYFUNCTION("""COMPUTED_VALUE"""),"None")</f>
        <v>None</v>
      </c>
      <c r="V19" s="64" t="str">
        <f ca="1">IFERROR(__xludf.DUMMYFUNCTION("""COMPUTED_VALUE"""),"spikerock")</f>
        <v>spikerock</v>
      </c>
      <c r="W19" s="64" t="str">
        <f ca="1">IFERROR(__xludf.DUMMYFUNCTION("""COMPUTED_VALUE"""),"Special")</f>
        <v>Special</v>
      </c>
      <c r="X19" s="64" t="str">
        <f ca="1">IFERROR(__xludf.DUMMYFUNCTION("""COMPUTED_VALUE"""),"PvZ, PvZ 2, PvZ 2 Chinease")</f>
        <v>PvZ, PvZ 2, PvZ 2 Chinease</v>
      </c>
      <c r="Y19" s="65" t="str">
        <f ca="1">IFERROR(__xludf.DUMMYFUNCTION("""COMPUTED_VALUE"""),"https://static.wikia.nocookie.net/plantsvszombies/images/0/00/Spikerock2.png/revision/latest?cb=20221206063144")</f>
        <v>https://static.wikia.nocookie.net/plantsvszombies/images/0/00/Spikerock2.png/revision/latest?cb=20221206063144</v>
      </c>
    </row>
    <row r="20" spans="1:25" x14ac:dyDescent="0.2">
      <c r="A20" s="64">
        <f ca="1">IFERROR(__xludf.DUMMYFUNCTION("""COMPUTED_VALUE"""),19)</f>
        <v>19</v>
      </c>
      <c r="B20" s="64" t="str">
        <f ca="1">IFERROR(__xludf.DUMMYFUNCTION("""COMPUTED_VALUE"""),"Cherry Bomb")</f>
        <v>Cherry Bomb</v>
      </c>
      <c r="C20" s="64" t="str">
        <f ca="1">IFERROR(__xludf.DUMMYFUNCTION("""COMPUTED_VALUE"""),"Cereja Bomba")</f>
        <v>Cereja Bomba</v>
      </c>
      <c r="D20" s="64" t="str">
        <f ca="1">IFERROR(__xludf.DUMMYFUNCTION("""COMPUTED_VALUE"""),"Bombarda")</f>
        <v>Bombarda</v>
      </c>
      <c r="E20" s="64" t="str">
        <f ca="1">IFERROR(__xludf.DUMMYFUNCTION("""COMPUTED_VALUE"""),"Explode em uma área 3x3.")</f>
        <v>Explode em uma área 3x3.</v>
      </c>
      <c r="F20" s="64">
        <f ca="1">IFERROR(__xludf.DUMMYFUNCTION("""COMPUTED_VALUE"""),150)</f>
        <v>150</v>
      </c>
      <c r="G20" s="64">
        <f ca="1">IFERROR(__xludf.DUMMYFUNCTION("""COMPUTED_VALUE"""),1)</f>
        <v>1</v>
      </c>
      <c r="H20" s="64">
        <f ca="1">IFERROR(__xludf.DUMMYFUNCTION("""COMPUTED_VALUE"""),1800)</f>
        <v>1800</v>
      </c>
      <c r="I20" s="64">
        <f ca="1">IFERROR(__xludf.DUMMYFUNCTION("""COMPUTED_VALUE"""),35)</f>
        <v>35</v>
      </c>
      <c r="J20" s="64" t="str">
        <f ca="1">IFERROR(__xludf.DUMMYFUNCTION("""COMPUTED_VALUE"""),"No Plant Food effect.")</f>
        <v>No Plant Food effect.</v>
      </c>
      <c r="K20" s="64"/>
      <c r="L20" s="64"/>
      <c r="M20" s="64" t="b">
        <f ca="1">IFERROR(__xludf.DUMMYFUNCTION("""COMPUTED_VALUE"""),FALSE)</f>
        <v>0</v>
      </c>
      <c r="N20" s="64" t="b">
        <f ca="1">IFERROR(__xludf.DUMMYFUNCTION("""COMPUTED_VALUE"""),FALSE)</f>
        <v>0</v>
      </c>
      <c r="O20" s="64">
        <f ca="1">IFERROR(__xludf.DUMMYFUNCTION("""COMPUTED_VALUE"""),0)</f>
        <v>0</v>
      </c>
      <c r="P20" s="64" t="str">
        <f ca="1">IFERROR(__xludf.DUMMYFUNCTION("""COMPUTED_VALUE"""),"Common")</f>
        <v>Common</v>
      </c>
      <c r="Q20" s="64" t="str">
        <f ca="1">IFERROR(__xludf.DUMMYFUNCTION("""COMPUTED_VALUE"""),"explosion, area-effect")</f>
        <v>explosion, area-effect</v>
      </c>
      <c r="R20" s="64" t="str">
        <f ca="1">IFERROR(__xludf.DUMMYFUNCTION("""COMPUTED_VALUE"""),"Berry")</f>
        <v>Berry</v>
      </c>
      <c r="S20" s="64" t="str">
        <f ca="1">IFERROR(__xludf.DUMMYFUNCTION("""COMPUTED_VALUE"""),"Natural")</f>
        <v>Natural</v>
      </c>
      <c r="T20" s="64" t="str">
        <f ca="1">IFERROR(__xludf.DUMMYFUNCTION("""COMPUTED_VALUE"""),"None")</f>
        <v>None</v>
      </c>
      <c r="U20" s="64" t="str">
        <f ca="1">IFERROR(__xludf.DUMMYFUNCTION("""COMPUTED_VALUE"""),"None")</f>
        <v>None</v>
      </c>
      <c r="V20" s="64" t="str">
        <f ca="1">IFERROR(__xludf.DUMMYFUNCTION("""COMPUTED_VALUE"""),"cherry_bomb")</f>
        <v>cherry_bomb</v>
      </c>
      <c r="W20" s="64" t="str">
        <f ca="1">IFERROR(__xludf.DUMMYFUNCTION("""COMPUTED_VALUE"""),"Special")</f>
        <v>Special</v>
      </c>
      <c r="X20" s="64" t="str">
        <f ca="1">IFERROR(__xludf.DUMMYFUNCTION("""COMPUTED_VALUE"""),"PvZ, PvZ 2, PvZ 2 Chinease, PvZ Heroes, PvZA, PvZ 3")</f>
        <v>PvZ, PvZ 2, PvZ 2 Chinease, PvZ Heroes, PvZA, PvZ 3</v>
      </c>
      <c r="Y20" s="65" t="str">
        <f ca="1">IFERROR(__xludf.DUMMYFUNCTION("""COMPUTED_VALUE"""),"https://static.wikia.nocookie.net/plantsvszombies/images/9/93/Cherry_Bomb2.png/revision/latest?cb=20221206063300")</f>
        <v>https://static.wikia.nocookie.net/plantsvszombies/images/9/93/Cherry_Bomb2.png/revision/latest?cb=20221206063300</v>
      </c>
    </row>
    <row r="21" spans="1:25" x14ac:dyDescent="0.2">
      <c r="A21" s="64">
        <f ca="1">IFERROR(__xludf.DUMMYFUNCTION("""COMPUTED_VALUE"""),20)</f>
        <v>20</v>
      </c>
      <c r="B21" s="64" t="str">
        <f ca="1">IFERROR(__xludf.DUMMYFUNCTION("""COMPUTED_VALUE"""),"Split Pea")</f>
        <v>Split Pea</v>
      </c>
      <c r="C21" s="64" t="str">
        <f ca="1">IFERROR(__xludf.DUMMYFUNCTION("""COMPUTED_VALUE"""),"Bi Disparervilha")</f>
        <v>Bi Disparervilha</v>
      </c>
      <c r="D21" s="64" t="str">
        <f ca="1">IFERROR(__xludf.DUMMYFUNCTION("""COMPUTED_VALUE"""),"Dispara")</f>
        <v>Dispara</v>
      </c>
      <c r="E21" s="64" t="str">
        <f ca="1">IFERROR(__xludf.DUMMYFUNCTION("""COMPUTED_VALUE"""),"Dispara uma ervilha contra o zumbi na dianteira, e duas contra zumbis na retaguarda.")</f>
        <v>Dispara uma ervilha contra o zumbi na dianteira, e duas contra zumbis na retaguarda.</v>
      </c>
      <c r="F21" s="64">
        <f ca="1">IFERROR(__xludf.DUMMYFUNCTION("""COMPUTED_VALUE"""),125)</f>
        <v>125</v>
      </c>
      <c r="G21" s="64">
        <f ca="1">IFERROR(__xludf.DUMMYFUNCTION("""COMPUTED_VALUE"""),300)</f>
        <v>300</v>
      </c>
      <c r="H21" s="64">
        <f ca="1">IFERROR(__xludf.DUMMYFUNCTION("""COMPUTED_VALUE"""),20)</f>
        <v>20</v>
      </c>
      <c r="I21" s="64">
        <f ca="1">IFERROR(__xludf.DUMMYFUNCTION("""COMPUTED_VALUE"""),5)</f>
        <v>5</v>
      </c>
      <c r="J21" s="64" t="str">
        <f ca="1">IFERROR(__xludf.DUMMYFUNCTION("""COMPUTED_VALUE"""),"Shoots a barrage of peas at both the front and behind the plant, then fires a giant pea behind.")</f>
        <v>Shoots a barrage of peas at both the front and behind the plant, then fires a giant pea behind.</v>
      </c>
      <c r="K21" s="64"/>
      <c r="L21" s="64"/>
      <c r="M21" s="64" t="b">
        <f ca="1">IFERROR(__xludf.DUMMYFUNCTION("""COMPUTED_VALUE"""),FALSE)</f>
        <v>0</v>
      </c>
      <c r="N21" s="64" t="b">
        <f ca="1">IFERROR(__xludf.DUMMYFUNCTION("""COMPUTED_VALUE"""),FALSE)</f>
        <v>0</v>
      </c>
      <c r="O21" s="64">
        <f ca="1">IFERROR(__xludf.DUMMYFUNCTION("""COMPUTED_VALUE"""),0)</f>
        <v>0</v>
      </c>
      <c r="P21" s="64" t="str">
        <f ca="1">IFERROR(__xludf.DUMMYFUNCTION("""COMPUTED_VALUE"""),"Common")</f>
        <v>Common</v>
      </c>
      <c r="Q21" s="64" t="str">
        <f ca="1">IFERROR(__xludf.DUMMYFUNCTION("""COMPUTED_VALUE"""),"attack_backwards")</f>
        <v>attack_backwards</v>
      </c>
      <c r="R21" s="64" t="str">
        <f ca="1">IFERROR(__xludf.DUMMYFUNCTION("""COMPUTED_VALUE"""),"Pea")</f>
        <v>Pea</v>
      </c>
      <c r="S21" s="64" t="str">
        <f ca="1">IFERROR(__xludf.DUMMYFUNCTION("""COMPUTED_VALUE"""),"Natural")</f>
        <v>Natural</v>
      </c>
      <c r="T21" s="64" t="str">
        <f ca="1">IFERROR(__xludf.DUMMYFUNCTION("""COMPUTED_VALUE"""),"None")</f>
        <v>None</v>
      </c>
      <c r="U21" s="64" t="str">
        <f ca="1">IFERROR(__xludf.DUMMYFUNCTION("""COMPUTED_VALUE"""),"None")</f>
        <v>None</v>
      </c>
      <c r="V21" s="64" t="str">
        <f ca="1">IFERROR(__xludf.DUMMYFUNCTION("""COMPUTED_VALUE"""),"splitpea")</f>
        <v>splitpea</v>
      </c>
      <c r="W21" s="64" t="str">
        <f ca="1">IFERROR(__xludf.DUMMYFUNCTION("""COMPUTED_VALUE"""),"Ranged")</f>
        <v>Ranged</v>
      </c>
      <c r="X21" s="64" t="str">
        <f ca="1">IFERROR(__xludf.DUMMYFUNCTION("""COMPUTED_VALUE"""),"PvZ, PvZ 2, PvZ 2 Chinease, PvZ Heroes")</f>
        <v>PvZ, PvZ 2, PvZ 2 Chinease, PvZ Heroes</v>
      </c>
      <c r="Y21" s="65" t="str">
        <f ca="1">IFERROR(__xludf.DUMMYFUNCTION("""COMPUTED_VALUE"""),"https://static.wikia.nocookie.net/plantsvszombies/images/4/46/Split_Pea2.png/revision/latest?cb=20160831004326")</f>
        <v>https://static.wikia.nocookie.net/plantsvszombies/images/4/46/Split_Pea2.png/revision/latest?cb=20160831004326</v>
      </c>
    </row>
    <row r="22" spans="1:25" x14ac:dyDescent="0.2">
      <c r="A22" s="64">
        <f ca="1">IFERROR(__xludf.DUMMYFUNCTION("""COMPUTED_VALUE"""),21)</f>
        <v>21</v>
      </c>
      <c r="B22" s="64" t="str">
        <f ca="1">IFERROR(__xludf.DUMMYFUNCTION("""COMPUTED_VALUE"""),"Chili Bean")</f>
        <v>Chili Bean</v>
      </c>
      <c r="C22" s="64" t="str">
        <f ca="1">IFERROR(__xludf.DUMMYFUNCTION("""COMPUTED_VALUE"""),"Feijão Picante")</f>
        <v>Feijão Picante</v>
      </c>
      <c r="D22" s="64" t="str">
        <f ca="1">IFERROR(__xludf.DUMMYFUNCTION("""COMPUTED_VALUE"""),"Envenenada")</f>
        <v>Envenenada</v>
      </c>
      <c r="E22" s="64" t="str">
        <f ca="1">IFERROR(__xludf.DUMMYFUNCTION("""COMPUTED_VALUE"""),"Nocauteia o zumbi que a devorar gerando uma nuvem paralizante.")</f>
        <v>Nocauteia o zumbi que a devorar gerando uma nuvem paralizante.</v>
      </c>
      <c r="F22" s="64">
        <f ca="1">IFERROR(__xludf.DUMMYFUNCTION("""COMPUTED_VALUE"""),50)</f>
        <v>50</v>
      </c>
      <c r="G22" s="64">
        <f ca="1">IFERROR(__xludf.DUMMYFUNCTION("""COMPUTED_VALUE"""),300)</f>
        <v>300</v>
      </c>
      <c r="H22" s="64">
        <f ca="1">IFERROR(__xludf.DUMMYFUNCTION("""COMPUTED_VALUE"""),0)</f>
        <v>0</v>
      </c>
      <c r="I22" s="64">
        <f ca="1">IFERROR(__xludf.DUMMYFUNCTION("""COMPUTED_VALUE"""),20)</f>
        <v>20</v>
      </c>
      <c r="J22" s="64" t="str">
        <f ca="1">IFERROR(__xludf.DUMMYFUNCTION("""COMPUTED_VALUE"""),"Launches out 3 Chili Bean clones to random locations on the lawn.")</f>
        <v>Launches out 3 Chili Bean clones to random locations on the lawn.</v>
      </c>
      <c r="K22" s="64"/>
      <c r="L22" s="64" t="str">
        <f ca="1">IFERROR(__xludf.DUMMYFUNCTION("""COMPUTED_VALUE"""),"Special - Eating zombie is destroyed and releases stunning gas")</f>
        <v>Special - Eating zombie is destroyed and releases stunning gas</v>
      </c>
      <c r="M22" s="64" t="b">
        <f ca="1">IFERROR(__xludf.DUMMYFUNCTION("""COMPUTED_VALUE"""),TRUE)</f>
        <v>1</v>
      </c>
      <c r="N22" s="64" t="b">
        <f ca="1">IFERROR(__xludf.DUMMYFUNCTION("""COMPUTED_VALUE"""),FALSE)</f>
        <v>0</v>
      </c>
      <c r="O22" s="64">
        <f ca="1">IFERROR(__xludf.DUMMYFUNCTION("""COMPUTED_VALUE"""),0)</f>
        <v>0</v>
      </c>
      <c r="P22" s="64" t="str">
        <f ca="1">IFERROR(__xludf.DUMMYFUNCTION("""COMPUTED_VALUE"""),"Common")</f>
        <v>Common</v>
      </c>
      <c r="Q22" s="64" t="str">
        <f ca="1">IFERROR(__xludf.DUMMYFUNCTION("""COMPUTED_VALUE"""),"poison")</f>
        <v>poison</v>
      </c>
      <c r="R22" s="64" t="str">
        <f ca="1">IFERROR(__xludf.DUMMYFUNCTION("""COMPUTED_VALUE"""),"Bean")</f>
        <v>Bean</v>
      </c>
      <c r="S22" s="64" t="str">
        <f ca="1">IFERROR(__xludf.DUMMYFUNCTION("""COMPUTED_VALUE"""),"Natural")</f>
        <v>Natural</v>
      </c>
      <c r="T22" s="64" t="str">
        <f ca="1">IFERROR(__xludf.DUMMYFUNCTION("""COMPUTED_VALUE"""),"None")</f>
        <v>None</v>
      </c>
      <c r="U22" s="64" t="str">
        <f ca="1">IFERROR(__xludf.DUMMYFUNCTION("""COMPUTED_VALUE"""),"None")</f>
        <v>None</v>
      </c>
      <c r="V22" s="64" t="str">
        <f ca="1">IFERROR(__xludf.DUMMYFUNCTION("""COMPUTED_VALUE"""),"chilibean")</f>
        <v>chilibean</v>
      </c>
      <c r="W22" s="64" t="str">
        <f ca="1">IFERROR(__xludf.DUMMYFUNCTION("""COMPUTED_VALUE"""),"Special")</f>
        <v>Special</v>
      </c>
      <c r="X22" s="64" t="str">
        <f ca="1">IFERROR(__xludf.DUMMYFUNCTION("""COMPUTED_VALUE"""),"PvZ 2, PvZ 2 Chinease, PvZ GW, PvZ GW 2, PvZ BfN, PvZ 3")</f>
        <v>PvZ 2, PvZ 2 Chinease, PvZ GW, PvZ GW 2, PvZ BfN, PvZ 3</v>
      </c>
      <c r="Y22" s="65" t="str">
        <f ca="1">IFERROR(__xludf.DUMMYFUNCTION("""COMPUTED_VALUE"""),"https://static.wikia.nocookie.net/plantsvszombies/images/a/a1/Chili_Bean2.png/revision/latest?cb=20160827004139")</f>
        <v>https://static.wikia.nocookie.net/plantsvszombies/images/a/a1/Chili_Bean2.png/revision/latest?cb=20160827004139</v>
      </c>
    </row>
    <row r="23" spans="1:25" x14ac:dyDescent="0.2">
      <c r="A23" s="64">
        <f ca="1">IFERROR(__xludf.DUMMYFUNCTION("""COMPUTED_VALUE"""),22)</f>
        <v>22</v>
      </c>
      <c r="B23" s="64" t="str">
        <f ca="1">IFERROR(__xludf.DUMMYFUNCTION("""COMPUTED_VALUE"""),"Pea Pod")</f>
        <v>Pea Pod</v>
      </c>
      <c r="C23" s="64" t="str">
        <f ca="1">IFERROR(__xludf.DUMMYFUNCTION("""COMPUTED_VALUE"""),"Vagem")</f>
        <v>Vagem</v>
      </c>
      <c r="D23" s="64" t="str">
        <f ca="1">IFERROR(__xludf.DUMMYFUNCTION("""COMPUTED_VALUE"""),"Dispara")</f>
        <v>Dispara</v>
      </c>
      <c r="E23" s="64" t="str">
        <f ca="1">IFERROR(__xludf.DUMMYFUNCTION("""COMPUTED_VALUE"""),"Pode disparar até 5 vezes, dependendo do número de cargas.")</f>
        <v>Pode disparar até 5 vezes, dependendo do número de cargas.</v>
      </c>
      <c r="F23" s="64">
        <f ca="1">IFERROR(__xludf.DUMMYFUNCTION("""COMPUTED_VALUE"""),125)</f>
        <v>125</v>
      </c>
      <c r="G23" s="64">
        <f ca="1">IFERROR(__xludf.DUMMYFUNCTION("""COMPUTED_VALUE"""),300)</f>
        <v>300</v>
      </c>
      <c r="H23" s="64">
        <f ca="1">IFERROR(__xludf.DUMMYFUNCTION("""COMPUTED_VALUE"""),20)</f>
        <v>20</v>
      </c>
      <c r="I23" s="64">
        <f ca="1">IFERROR(__xludf.DUMMYFUNCTION("""COMPUTED_VALUE"""),5)</f>
        <v>5</v>
      </c>
      <c r="J23" s="64" t="str">
        <f ca="1">IFERROR(__xludf.DUMMYFUNCTION("""COMPUTED_VALUE"""),"Summons a giant Peashooter that shoots five giant peas.")</f>
        <v>Summons a giant Peashooter that shoots five giant peas.</v>
      </c>
      <c r="K23" s="64"/>
      <c r="L23" s="64" t="str">
        <f ca="1">IFERROR(__xludf.DUMMYFUNCTION("""COMPUTED_VALUE"""),"Special - Increases rate of fire with multiple plantings")</f>
        <v>Special - Increases rate of fire with multiple plantings</v>
      </c>
      <c r="M23" s="64" t="b">
        <f ca="1">IFERROR(__xludf.DUMMYFUNCTION("""COMPUTED_VALUE"""),FALSE)</f>
        <v>0</v>
      </c>
      <c r="N23" s="64" t="b">
        <f ca="1">IFERROR(__xludf.DUMMYFUNCTION("""COMPUTED_VALUE"""),FALSE)</f>
        <v>0</v>
      </c>
      <c r="O23" s="64">
        <f ca="1">IFERROR(__xludf.DUMMYFUNCTION("""COMPUTED_VALUE"""),0)</f>
        <v>0</v>
      </c>
      <c r="P23" s="64" t="str">
        <f ca="1">IFERROR(__xludf.DUMMYFUNCTION("""COMPUTED_VALUE"""),"Uncommon")</f>
        <v>Uncommon</v>
      </c>
      <c r="Q23" s="64"/>
      <c r="R23" s="64" t="str">
        <f ca="1">IFERROR(__xludf.DUMMYFUNCTION("""COMPUTED_VALUE"""),"Pea")</f>
        <v>Pea</v>
      </c>
      <c r="S23" s="64" t="str">
        <f ca="1">IFERROR(__xludf.DUMMYFUNCTION("""COMPUTED_VALUE"""),"Natural")</f>
        <v>Natural</v>
      </c>
      <c r="T23" s="64" t="str">
        <f ca="1">IFERROR(__xludf.DUMMYFUNCTION("""COMPUTED_VALUE"""),"None")</f>
        <v>None</v>
      </c>
      <c r="U23" s="64" t="str">
        <f ca="1">IFERROR(__xludf.DUMMYFUNCTION("""COMPUTED_VALUE"""),"None")</f>
        <v>None</v>
      </c>
      <c r="V23" s="64" t="str">
        <f ca="1">IFERROR(__xludf.DUMMYFUNCTION("""COMPUTED_VALUE"""),"peapod")</f>
        <v>peapod</v>
      </c>
      <c r="W23" s="64" t="str">
        <f ca="1">IFERROR(__xludf.DUMMYFUNCTION("""COMPUTED_VALUE"""),"Ranged")</f>
        <v>Ranged</v>
      </c>
      <c r="X23" s="64" t="str">
        <f ca="1">IFERROR(__xludf.DUMMYFUNCTION("""COMPUTED_VALUE"""),"PvZ 2, PvZ 2 Chinease, PvZ Heroes")</f>
        <v>PvZ 2, PvZ 2 Chinease, PvZ Heroes</v>
      </c>
      <c r="Y23" s="65" t="str">
        <f ca="1">IFERROR(__xludf.DUMMYFUNCTION("""COMPUTED_VALUE"""),"https://static.wikia.nocookie.net/plantsvszombies/images/1/13/Pea_Pod2.png/revision/latest?cb=20141116195736")</f>
        <v>https://static.wikia.nocookie.net/plantsvszombies/images/1/13/Pea_Pod2.png/revision/latest?cb=20141116195736</v>
      </c>
    </row>
    <row r="24" spans="1:25" x14ac:dyDescent="0.2">
      <c r="A24" s="64">
        <f ca="1">IFERROR(__xludf.DUMMYFUNCTION("""COMPUTED_VALUE"""),23)</f>
        <v>23</v>
      </c>
      <c r="B24" s="64" t="str">
        <f ca="1">IFERROR(__xludf.DUMMYFUNCTION("""COMPUTED_VALUE"""),"Lightning Reed")</f>
        <v>Lightning Reed</v>
      </c>
      <c r="C24" s="64" t="str">
        <f ca="1">IFERROR(__xludf.DUMMYFUNCTION("""COMPUTED_VALUE"""),"Junco Relâmpago")</f>
        <v>Junco Relâmpago</v>
      </c>
      <c r="D24" s="64" t="str">
        <f ca="1">IFERROR(__xludf.DUMMYFUNCTION("""COMPUTED_VALUE"""),"Fila")</f>
        <v>Fila</v>
      </c>
      <c r="E24" s="64" t="str">
        <f ca="1">IFERROR(__xludf.DUMMYFUNCTION("""COMPUTED_VALUE"""),"Eletruca zumbis em cadeia.")</f>
        <v>Eletruca zumbis em cadeia.</v>
      </c>
      <c r="F24" s="64">
        <f ca="1">IFERROR(__xludf.DUMMYFUNCTION("""COMPUTED_VALUE"""),125)</f>
        <v>125</v>
      </c>
      <c r="G24" s="64">
        <f ca="1">IFERROR(__xludf.DUMMYFUNCTION("""COMPUTED_VALUE"""),300)</f>
        <v>300</v>
      </c>
      <c r="H24" s="64">
        <f ca="1">IFERROR(__xludf.DUMMYFUNCTION("""COMPUTED_VALUE"""),10)</f>
        <v>10</v>
      </c>
      <c r="I24" s="64">
        <f ca="1">IFERROR(__xludf.DUMMYFUNCTION("""COMPUTED_VALUE"""),5)</f>
        <v>5</v>
      </c>
      <c r="J24" s="64" t="str">
        <f ca="1">IFERROR(__xludf.DUMMYFUNCTION("""COMPUTED_VALUE"""),"Create a storm cloud that damages random zombies on the lawn.")</f>
        <v>Create a storm cloud that damages random zombies on the lawn.</v>
      </c>
      <c r="K24" s="64"/>
      <c r="L24" s="64"/>
      <c r="M24" s="64" t="b">
        <f ca="1">IFERROR(__xludf.DUMMYFUNCTION("""COMPUTED_VALUE"""),FALSE)</f>
        <v>0</v>
      </c>
      <c r="N24" s="64" t="b">
        <f ca="1">IFERROR(__xludf.DUMMYFUNCTION("""COMPUTED_VALUE"""),FALSE)</f>
        <v>0</v>
      </c>
      <c r="O24" s="64">
        <f ca="1">IFERROR(__xludf.DUMMYFUNCTION("""COMPUTED_VALUE"""),0)</f>
        <v>0</v>
      </c>
      <c r="P24" s="64" t="str">
        <f ca="1">IFERROR(__xludf.DUMMYFUNCTION("""COMPUTED_VALUE"""),"Common")</f>
        <v>Common</v>
      </c>
      <c r="Q24" s="64" t="str">
        <f ca="1">IFERROR(__xludf.DUMMYFUNCTION("""COMPUTED_VALUE"""),"chain_attack")</f>
        <v>chain_attack</v>
      </c>
      <c r="R24" s="64" t="str">
        <f ca="1">IFERROR(__xludf.DUMMYFUNCTION("""COMPUTED_VALUE"""),"Leaf")</f>
        <v>Leaf</v>
      </c>
      <c r="S24" s="64" t="str">
        <f ca="1">IFERROR(__xludf.DUMMYFUNCTION("""COMPUTED_VALUE"""),"Natural")</f>
        <v>Natural</v>
      </c>
      <c r="T24" s="64" t="str">
        <f ca="1">IFERROR(__xludf.DUMMYFUNCTION("""COMPUTED_VALUE"""),"None")</f>
        <v>None</v>
      </c>
      <c r="U24" s="64" t="str">
        <f ca="1">IFERROR(__xludf.DUMMYFUNCTION("""COMPUTED_VALUE"""),"None")</f>
        <v>None</v>
      </c>
      <c r="V24" s="64" t="str">
        <f ca="1">IFERROR(__xludf.DUMMYFUNCTION("""COMPUTED_VALUE"""),"lightningreed")</f>
        <v>lightningreed</v>
      </c>
      <c r="W24" s="64" t="str">
        <f ca="1">IFERROR(__xludf.DUMMYFUNCTION("""COMPUTED_VALUE"""),"Ranged")</f>
        <v>Ranged</v>
      </c>
      <c r="X24" s="64" t="str">
        <f ca="1">IFERROR(__xludf.DUMMYFUNCTION("""COMPUTED_VALUE"""),"PvZ 2, PvZ 2 Chinease, PvZ Heroes, PvZ GW 2, PvZ BfN, PvZ 3")</f>
        <v>PvZ 2, PvZ 2 Chinease, PvZ Heroes, PvZ GW 2, PvZ BfN, PvZ 3</v>
      </c>
      <c r="Y24" s="65" t="str">
        <f ca="1">IFERROR(__xludf.DUMMYFUNCTION("""COMPUTED_VALUE"""),"https://static.wikia.nocookie.net/plantsvszombies/images/a/a1/Lightning_Reed2.png/revision/latest?cb=20181230181008")</f>
        <v>https://static.wikia.nocookie.net/plantsvszombies/images/a/a1/Lightning_Reed2.png/revision/latest?cb=20181230181008</v>
      </c>
    </row>
    <row r="25" spans="1:25" x14ac:dyDescent="0.2">
      <c r="A25" s="64">
        <f ca="1">IFERROR(__xludf.DUMMYFUNCTION("""COMPUTED_VALUE"""),24)</f>
        <v>24</v>
      </c>
      <c r="B25" s="64" t="str">
        <f ca="1">IFERROR(__xludf.DUMMYFUNCTION("""COMPUTED_VALUE"""),"Melon-pult")</f>
        <v>Melon-pult</v>
      </c>
      <c r="C25" s="64" t="str">
        <f ca="1">IFERROR(__xludf.DUMMYFUNCTION("""COMPUTED_VALUE"""),"Melância-pulta")</f>
        <v>Melância-pulta</v>
      </c>
      <c r="D25" s="64" t="str">
        <f ca="1">IFERROR(__xludf.DUMMYFUNCTION("""COMPUTED_VALUE"""),"Arma")</f>
        <v>Arma</v>
      </c>
      <c r="E25" s="64" t="str">
        <f ca="1">IFERROR(__xludf.DUMMYFUNCTION("""COMPUTED_VALUE"""),"Ataca zumbis em parábola com dano poderoso em área.")</f>
        <v>Ataca zumbis em parábola com dano poderoso em área.</v>
      </c>
      <c r="F25" s="64">
        <f ca="1">IFERROR(__xludf.DUMMYFUNCTION("""COMPUTED_VALUE"""),325)</f>
        <v>325</v>
      </c>
      <c r="G25" s="64">
        <f ca="1">IFERROR(__xludf.DUMMYFUNCTION("""COMPUTED_VALUE"""),300)</f>
        <v>300</v>
      </c>
      <c r="H25" s="64">
        <f ca="1">IFERROR(__xludf.DUMMYFUNCTION("""COMPUTED_VALUE"""),80)</f>
        <v>80</v>
      </c>
      <c r="I25" s="64">
        <f ca="1">IFERROR(__xludf.DUMMYFUNCTION("""COMPUTED_VALUE"""),5)</f>
        <v>5</v>
      </c>
      <c r="J25" s="64" t="str">
        <f ca="1">IFERROR(__xludf.DUMMYFUNCTION("""COMPUTED_VALUE"""),"Launches melons at every zombie, dealing both damage and splash damage on impact.")</f>
        <v>Launches melons at every zombie, dealing both damage and splash damage on impact.</v>
      </c>
      <c r="K25" s="64"/>
      <c r="L25" s="64"/>
      <c r="M25" s="64" t="b">
        <f ca="1">IFERROR(__xludf.DUMMYFUNCTION("""COMPUTED_VALUE"""),FALSE)</f>
        <v>0</v>
      </c>
      <c r="N25" s="64" t="b">
        <f ca="1">IFERROR(__xludf.DUMMYFUNCTION("""COMPUTED_VALUE"""),FALSE)</f>
        <v>0</v>
      </c>
      <c r="O25" s="64">
        <f ca="1">IFERROR(__xludf.DUMMYFUNCTION("""COMPUTED_VALUE"""),0)</f>
        <v>0</v>
      </c>
      <c r="P25" s="64" t="str">
        <f ca="1">IFERROR(__xludf.DUMMYFUNCTION("""COMPUTED_VALUE"""),"Common")</f>
        <v>Common</v>
      </c>
      <c r="Q25" s="64" t="str">
        <f ca="1">IFERROR(__xludf.DUMMYFUNCTION("""COMPUTED_VALUE"""),"area-effect")</f>
        <v>area-effect</v>
      </c>
      <c r="R25" s="64" t="str">
        <f ca="1">IFERROR(__xludf.DUMMYFUNCTION("""COMPUTED_VALUE"""),"Fruit")</f>
        <v>Fruit</v>
      </c>
      <c r="S25" s="64" t="str">
        <f ca="1">IFERROR(__xludf.DUMMYFUNCTION("""COMPUTED_VALUE"""),"Natural")</f>
        <v>Natural</v>
      </c>
      <c r="T25" s="64" t="str">
        <f ca="1">IFERROR(__xludf.DUMMYFUNCTION("""COMPUTED_VALUE"""),"None")</f>
        <v>None</v>
      </c>
      <c r="U25" s="64" t="str">
        <f ca="1">IFERROR(__xludf.DUMMYFUNCTION("""COMPUTED_VALUE"""),"None")</f>
        <v>None</v>
      </c>
      <c r="V25" s="64" t="str">
        <f ca="1">IFERROR(__xludf.DUMMYFUNCTION("""COMPUTED_VALUE"""),"melonpult")</f>
        <v>melonpult</v>
      </c>
      <c r="W25" s="64" t="str">
        <f ca="1">IFERROR(__xludf.DUMMYFUNCTION("""COMPUTED_VALUE"""),"Ranged")</f>
        <v>Ranged</v>
      </c>
      <c r="X25" s="64" t="str">
        <f ca="1">IFERROR(__xludf.DUMMYFUNCTION("""COMPUTED_VALUE"""),"PvZ, PvZ 2, PvZ 2 Chinease, PvZ Heroes")</f>
        <v>PvZ, PvZ 2, PvZ 2 Chinease, PvZ Heroes</v>
      </c>
      <c r="Y25" s="65" t="str">
        <f ca="1">IFERROR(__xludf.DUMMYFUNCTION("""COMPUTED_VALUE"""),"https://static.wikia.nocookie.net/plantsvszombies/images/f/fe/Melon-pult2.png/revision/latest?cb=20141116195851")</f>
        <v>https://static.wikia.nocookie.net/plantsvszombies/images/f/fe/Melon-pult2.png/revision/latest?cb=20141116195851</v>
      </c>
    </row>
    <row r="26" spans="1:25" x14ac:dyDescent="0.2">
      <c r="A26" s="64">
        <f ca="1">IFERROR(__xludf.DUMMYFUNCTION("""COMPUTED_VALUE"""),25)</f>
        <v>25</v>
      </c>
      <c r="B26" s="64" t="str">
        <f ca="1">IFERROR(__xludf.DUMMYFUNCTION("""COMPUTED_VALUE"""),"Tall-nut")</f>
        <v>Tall-nut</v>
      </c>
      <c r="C26" s="64" t="str">
        <f ca="1">IFERROR(__xludf.DUMMYFUNCTION("""COMPUTED_VALUE"""),"Noz-muralha")</f>
        <v>Noz-muralha</v>
      </c>
      <c r="D26" s="64" t="str">
        <f ca="1">IFERROR(__xludf.DUMMYFUNCTION("""COMPUTED_VALUE"""),"Endurecida")</f>
        <v>Endurecida</v>
      </c>
      <c r="E26" s="64" t="str">
        <f ca="1">IFERROR(__xludf.DUMMYFUNCTION("""COMPUTED_VALUE"""),"Fornece uma proteção para as plantas.")</f>
        <v>Fornece uma proteção para as plantas.</v>
      </c>
      <c r="F26" s="64">
        <f ca="1">IFERROR(__xludf.DUMMYFUNCTION("""COMPUTED_VALUE"""),125)</f>
        <v>125</v>
      </c>
      <c r="G26" s="64">
        <f ca="1">IFERROR(__xludf.DUMMYFUNCTION("""COMPUTED_VALUE"""),8000)</f>
        <v>8000</v>
      </c>
      <c r="H26" s="64">
        <f ca="1">IFERROR(__xludf.DUMMYFUNCTION("""COMPUTED_VALUE"""),0)</f>
        <v>0</v>
      </c>
      <c r="I26" s="64">
        <f ca="1">IFERROR(__xludf.DUMMYFUNCTION("""COMPUTED_VALUE"""),20)</f>
        <v>20</v>
      </c>
      <c r="J26" s="64" t="str">
        <f ca="1">IFERROR(__xludf.DUMMYFUNCTION("""COMPUTED_VALUE"""),"Heals itself and gains an extra hard armor shell.")</f>
        <v>Heals itself and gains an extra hard armor shell.</v>
      </c>
      <c r="K26" s="64"/>
      <c r="L26" s="64" t="str">
        <f ca="1">IFERROR(__xludf.DUMMYFUNCTION("""COMPUTED_VALUE"""),"Special - Blocks launched imps and flying zombies")</f>
        <v>Special - Blocks launched imps and flying zombies</v>
      </c>
      <c r="M26" s="64" t="b">
        <f ca="1">IFERROR(__xludf.DUMMYFUNCTION("""COMPUTED_VALUE"""),FALSE)</f>
        <v>0</v>
      </c>
      <c r="N26" s="64" t="b">
        <f ca="1">IFERROR(__xludf.DUMMYFUNCTION("""COMPUTED_VALUE"""),FALSE)</f>
        <v>0</v>
      </c>
      <c r="O26" s="64">
        <f ca="1">IFERROR(__xludf.DUMMYFUNCTION("""COMPUTED_VALUE"""),0)</f>
        <v>0</v>
      </c>
      <c r="P26" s="64" t="str">
        <f ca="1">IFERROR(__xludf.DUMMYFUNCTION("""COMPUTED_VALUE"""),"Common")</f>
        <v>Common</v>
      </c>
      <c r="Q26" s="64"/>
      <c r="R26" s="64" t="str">
        <f ca="1">IFERROR(__xludf.DUMMYFUNCTION("""COMPUTED_VALUE"""),"Nut")</f>
        <v>Nut</v>
      </c>
      <c r="S26" s="64" t="str">
        <f ca="1">IFERROR(__xludf.DUMMYFUNCTION("""COMPUTED_VALUE"""),"Natural")</f>
        <v>Natural</v>
      </c>
      <c r="T26" s="64" t="str">
        <f ca="1">IFERROR(__xludf.DUMMYFUNCTION("""COMPUTED_VALUE"""),"None")</f>
        <v>None</v>
      </c>
      <c r="U26" s="64" t="str">
        <f ca="1">IFERROR(__xludf.DUMMYFUNCTION("""COMPUTED_VALUE"""),"None")</f>
        <v>None</v>
      </c>
      <c r="V26" s="64" t="str">
        <f ca="1">IFERROR(__xludf.DUMMYFUNCTION("""COMPUTED_VALUE"""),"tallnut")</f>
        <v>tallnut</v>
      </c>
      <c r="W26" s="64" t="str">
        <f ca="1">IFERROR(__xludf.DUMMYFUNCTION("""COMPUTED_VALUE"""),"Tough")</f>
        <v>Tough</v>
      </c>
      <c r="X26" s="64" t="str">
        <f ca="1">IFERROR(__xludf.DUMMYFUNCTION("""COMPUTED_VALUE"""),"PvZ, PvZ 2, PvZ 2 Chinease, PvZ Heroes")</f>
        <v>PvZ, PvZ 2, PvZ 2 Chinease, PvZ Heroes</v>
      </c>
      <c r="Y26" s="65" t="str">
        <f ca="1">IFERROR(__xludf.DUMMYFUNCTION("""COMPUTED_VALUE"""),"https://static.wikia.nocookie.net/plantsvszombies/images/a/ab/Tall-nut2.png/revision/latest?cb=20141116195809")</f>
        <v>https://static.wikia.nocookie.net/plantsvszombies/images/a/ab/Tall-nut2.png/revision/latest?cb=20141116195809</v>
      </c>
    </row>
    <row r="27" spans="1:25" x14ac:dyDescent="0.2">
      <c r="A27" s="64">
        <f ca="1">IFERROR(__xludf.DUMMYFUNCTION("""COMPUTED_VALUE"""),26)</f>
        <v>26</v>
      </c>
      <c r="B27" s="64" t="str">
        <f ca="1">IFERROR(__xludf.DUMMYFUNCTION("""COMPUTED_VALUE"""),"Winter Melon")</f>
        <v>Winter Melon</v>
      </c>
      <c r="C27" s="64" t="str">
        <f ca="1">IFERROR(__xludf.DUMMYFUNCTION("""COMPUTED_VALUE"""),"Gelância")</f>
        <v>Gelância</v>
      </c>
      <c r="D27" s="64" t="str">
        <f ca="1">IFERROR(__xludf.DUMMYFUNCTION("""COMPUTED_VALUE"""),"Resfriada")</f>
        <v>Resfriada</v>
      </c>
      <c r="E27" s="64" t="str">
        <f ca="1">IFERROR(__xludf.DUMMYFUNCTION("""COMPUTED_VALUE"""),"Ataca zumbis em parábola com dano poderoso em área e causando resfreamento.")</f>
        <v>Ataca zumbis em parábola com dano poderoso em área e causando resfreamento.</v>
      </c>
      <c r="F27" s="64">
        <f ca="1">IFERROR(__xludf.DUMMYFUNCTION("""COMPUTED_VALUE"""),500)</f>
        <v>500</v>
      </c>
      <c r="G27" s="64">
        <f ca="1">IFERROR(__xludf.DUMMYFUNCTION("""COMPUTED_VALUE"""),300)</f>
        <v>300</v>
      </c>
      <c r="H27" s="64">
        <f ca="1">IFERROR(__xludf.DUMMYFUNCTION("""COMPUTED_VALUE"""),80)</f>
        <v>80</v>
      </c>
      <c r="I27" s="64">
        <f ca="1">IFERROR(__xludf.DUMMYFUNCTION("""COMPUTED_VALUE"""),5)</f>
        <v>5</v>
      </c>
      <c r="J27" s="64" t="str">
        <f ca="1">IFERROR(__xludf.DUMMYFUNCTION("""COMPUTED_VALUE"""),"Launches frozen melons at every zombie, dealing both damage and splash damage on impact.")</f>
        <v>Launches frozen melons at every zombie, dealing both damage and splash damage on impact.</v>
      </c>
      <c r="K27" s="64"/>
      <c r="L27" s="64"/>
      <c r="M27" s="64" t="b">
        <f ca="1">IFERROR(__xludf.DUMMYFUNCTION("""COMPUTED_VALUE"""),FALSE)</f>
        <v>0</v>
      </c>
      <c r="N27" s="64" t="b">
        <f ca="1">IFERROR(__xludf.DUMMYFUNCTION("""COMPUTED_VALUE"""),FALSE)</f>
        <v>0</v>
      </c>
      <c r="O27" s="64">
        <f ca="1">IFERROR(__xludf.DUMMYFUNCTION("""COMPUTED_VALUE"""),0)</f>
        <v>0</v>
      </c>
      <c r="P27" s="64" t="str">
        <f ca="1">IFERROR(__xludf.DUMMYFUNCTION("""COMPUTED_VALUE"""),"Uncommon")</f>
        <v>Uncommon</v>
      </c>
      <c r="Q27" s="64" t="str">
        <f ca="1">IFERROR(__xludf.DUMMYFUNCTION("""COMPUTED_VALUE"""),"area-effect, chilling")</f>
        <v>area-effect, chilling</v>
      </c>
      <c r="R27" s="64" t="str">
        <f ca="1">IFERROR(__xludf.DUMMYFUNCTION("""COMPUTED_VALUE"""),"Fruit")</f>
        <v>Fruit</v>
      </c>
      <c r="S27" s="64" t="str">
        <f ca="1">IFERROR(__xludf.DUMMYFUNCTION("""COMPUTED_VALUE"""),"Natural")</f>
        <v>Natural</v>
      </c>
      <c r="T27" s="64" t="str">
        <f ca="1">IFERROR(__xludf.DUMMYFUNCTION("""COMPUTED_VALUE"""),"None")</f>
        <v>None</v>
      </c>
      <c r="U27" s="64" t="str">
        <f ca="1">IFERROR(__xludf.DUMMYFUNCTION("""COMPUTED_VALUE"""),"None")</f>
        <v>None</v>
      </c>
      <c r="V27" s="64" t="str">
        <f ca="1">IFERROR(__xludf.DUMMYFUNCTION("""COMPUTED_VALUE"""),"wintermelon")</f>
        <v>wintermelon</v>
      </c>
      <c r="W27" s="64" t="str">
        <f ca="1">IFERROR(__xludf.DUMMYFUNCTION("""COMPUTED_VALUE"""),"Ranged")</f>
        <v>Ranged</v>
      </c>
      <c r="X27" s="64" t="str">
        <f ca="1">IFERROR(__xludf.DUMMYFUNCTION("""COMPUTED_VALUE"""),"PvZ, PvZ 2, PvZ 2 Chinease, PvZ Heroes")</f>
        <v>PvZ, PvZ 2, PvZ 2 Chinease, PvZ Heroes</v>
      </c>
      <c r="Y27" s="65" t="str">
        <f ca="1">IFERROR(__xludf.DUMMYFUNCTION("""COMPUTED_VALUE"""),"https://static.wikia.nocookie.net/plantsvszombies/images/2/24/Winter_Melon2.png/revision/latest?cb=20141116195910")</f>
        <v>https://static.wikia.nocookie.net/plantsvszombies/images/2/24/Winter_Melon2.png/revision/latest?cb=20141116195910</v>
      </c>
    </row>
    <row r="28" spans="1:25" x14ac:dyDescent="0.2">
      <c r="A28" s="64">
        <f ca="1">IFERROR(__xludf.DUMMYFUNCTION("""COMPUTED_VALUE"""),27)</f>
        <v>27</v>
      </c>
      <c r="B28" s="64" t="str">
        <f ca="1">IFERROR(__xludf.DUMMYFUNCTION("""COMPUTED_VALUE"""),"Hot Potato")</f>
        <v>Hot Potato</v>
      </c>
      <c r="C28" s="64" t="str">
        <f ca="1">IFERROR(__xludf.DUMMYFUNCTION("""COMPUTED_VALUE"""),"Batata Quente")</f>
        <v>Batata Quente</v>
      </c>
      <c r="D28" s="64" t="str">
        <f ca="1">IFERROR(__xludf.DUMMYFUNCTION("""COMPUTED_VALUE"""),"Aquecida")</f>
        <v>Aquecida</v>
      </c>
      <c r="E28" s="64" t="str">
        <f ca="1">IFERROR(__xludf.DUMMYFUNCTION("""COMPUTED_VALUE"""),"Esquenta plantas congeladas.")</f>
        <v>Esquenta plantas congeladas.</v>
      </c>
      <c r="F28" s="64">
        <f ca="1">IFERROR(__xludf.DUMMYFUNCTION("""COMPUTED_VALUE"""),0)</f>
        <v>0</v>
      </c>
      <c r="G28" s="64">
        <f ca="1">IFERROR(__xludf.DUMMYFUNCTION("""COMPUTED_VALUE"""),300)</f>
        <v>300</v>
      </c>
      <c r="H28" s="64">
        <f ca="1">IFERROR(__xludf.DUMMYFUNCTION("""COMPUTED_VALUE"""),0)</f>
        <v>0</v>
      </c>
      <c r="I28" s="64">
        <f ca="1">IFERROR(__xludf.DUMMYFUNCTION("""COMPUTED_VALUE"""),10)</f>
        <v>10</v>
      </c>
      <c r="J28" s="64" t="str">
        <f ca="1">IFERROR(__xludf.DUMMYFUNCTION("""COMPUTED_VALUE"""),"No Plant Food effect.")</f>
        <v>No Plant Food effect.</v>
      </c>
      <c r="K28" s="64"/>
      <c r="L28" s="64" t="str">
        <f ca="1">IFERROR(__xludf.DUMMYFUNCTION("""COMPUTED_VALUE"""),"Special - Melts an ice block")</f>
        <v>Special - Melts an ice block</v>
      </c>
      <c r="M28" s="64" t="b">
        <f ca="1">IFERROR(__xludf.DUMMYFUNCTION("""COMPUTED_VALUE"""),TRUE)</f>
        <v>1</v>
      </c>
      <c r="N28" s="64" t="b">
        <f ca="1">IFERROR(__xludf.DUMMYFUNCTION("""COMPUTED_VALUE"""),FALSE)</f>
        <v>0</v>
      </c>
      <c r="O28" s="64">
        <f ca="1">IFERROR(__xludf.DUMMYFUNCTION("""COMPUTED_VALUE"""),0)</f>
        <v>0</v>
      </c>
      <c r="P28" s="64" t="str">
        <f ca="1">IFERROR(__xludf.DUMMYFUNCTION("""COMPUTED_VALUE"""),"Common")</f>
        <v>Common</v>
      </c>
      <c r="Q28" s="64" t="str">
        <f ca="1">IFERROR(__xludf.DUMMYFUNCTION("""COMPUTED_VALUE"""),"warm")</f>
        <v>warm</v>
      </c>
      <c r="R28" s="64" t="str">
        <f ca="1">IFERROR(__xludf.DUMMYFUNCTION("""COMPUTED_VALUE"""),"Root")</f>
        <v>Root</v>
      </c>
      <c r="S28" s="64" t="str">
        <f ca="1">IFERROR(__xludf.DUMMYFUNCTION("""COMPUTED_VALUE"""),"Natural")</f>
        <v>Natural</v>
      </c>
      <c r="T28" s="64" t="str">
        <f ca="1">IFERROR(__xludf.DUMMYFUNCTION("""COMPUTED_VALUE"""),"None")</f>
        <v>None</v>
      </c>
      <c r="U28" s="64" t="str">
        <f ca="1">IFERROR(__xludf.DUMMYFUNCTION("""COMPUTED_VALUE"""),"None")</f>
        <v>None</v>
      </c>
      <c r="V28" s="64" t="str">
        <f ca="1">IFERROR(__xludf.DUMMYFUNCTION("""COMPUTED_VALUE"""),"hotpotato")</f>
        <v>hotpotato</v>
      </c>
      <c r="W28" s="64" t="str">
        <f ca="1">IFERROR(__xludf.DUMMYFUNCTION("""COMPUTED_VALUE"""),"Special")</f>
        <v>Special</v>
      </c>
      <c r="X28" s="64" t="str">
        <f ca="1">IFERROR(__xludf.DUMMYFUNCTION("""COMPUTED_VALUE"""),"PvZ 2, PvZ 2 Chinease")</f>
        <v>PvZ 2, PvZ 2 Chinease</v>
      </c>
      <c r="Y28" s="65" t="str">
        <f ca="1">IFERROR(__xludf.DUMMYFUNCTION("""COMPUTED_VALUE"""),"https://static.wikia.nocookie.net/plantsvszombies/images/2/2b/Hot_Potato2.png/revision/latest?cb=20150110113541")</f>
        <v>https://static.wikia.nocookie.net/plantsvszombies/images/2/2b/Hot_Potato2.png/revision/latest?cb=20150110113541</v>
      </c>
    </row>
    <row r="29" spans="1:25" x14ac:dyDescent="0.2">
      <c r="A29" s="64">
        <f ca="1">IFERROR(__xludf.DUMMYFUNCTION("""COMPUTED_VALUE"""),28)</f>
        <v>28</v>
      </c>
      <c r="B29" s="64" t="str">
        <f ca="1">IFERROR(__xludf.DUMMYFUNCTION("""COMPUTED_VALUE"""),"Pepper-pult")</f>
        <v>Pepper-pult</v>
      </c>
      <c r="C29" s="64" t="str">
        <f ca="1">IFERROR(__xludf.DUMMYFUNCTION("""COMPUTED_VALUE"""),"Pimentapulta")</f>
        <v>Pimentapulta</v>
      </c>
      <c r="D29" s="64" t="str">
        <f ca="1">IFERROR(__xludf.DUMMYFUNCTION("""COMPUTED_VALUE"""),"Aquecida")</f>
        <v>Aquecida</v>
      </c>
      <c r="E29" s="64" t="str">
        <f ca="1">IFERROR(__xludf.DUMMYFUNCTION("""COMPUTED_VALUE"""),"Ataca zumbis em parábola e aquece plantas próximas.")</f>
        <v>Ataca zumbis em parábola e aquece plantas próximas.</v>
      </c>
      <c r="F29" s="64">
        <f ca="1">IFERROR(__xludf.DUMMYFUNCTION("""COMPUTED_VALUE"""),200)</f>
        <v>200</v>
      </c>
      <c r="G29" s="64">
        <f ca="1">IFERROR(__xludf.DUMMYFUNCTION("""COMPUTED_VALUE"""),300)</f>
        <v>300</v>
      </c>
      <c r="H29" s="64">
        <f ca="1">IFERROR(__xludf.DUMMYFUNCTION("""COMPUTED_VALUE"""),50)</f>
        <v>50</v>
      </c>
      <c r="I29" s="64">
        <f ca="1">IFERROR(__xludf.DUMMYFUNCTION("""COMPUTED_VALUE"""),20)</f>
        <v>20</v>
      </c>
      <c r="J29" s="64" t="str">
        <f ca="1">IFERROR(__xludf.DUMMYFUNCTION("""COMPUTED_VALUE"""),"Launchs several giant fire peppers at random zombies that deal moderate splash damage on impact.")</f>
        <v>Launchs several giant fire peppers at random zombies that deal moderate splash damage on impact.</v>
      </c>
      <c r="K29" s="64"/>
      <c r="L29" s="64" t="str">
        <f ca="1">IFERROR(__xludf.DUMMYFUNCTION("""COMPUTED_VALUE"""),"Special - Immune to frost
Special - Warms nearby plants")</f>
        <v>Special - Immune to frost
Special - Warms nearby plants</v>
      </c>
      <c r="M29" s="64" t="b">
        <f ca="1">IFERROR(__xludf.DUMMYFUNCTION("""COMPUTED_VALUE"""),FALSE)</f>
        <v>0</v>
      </c>
      <c r="N29" s="64" t="b">
        <f ca="1">IFERROR(__xludf.DUMMYFUNCTION("""COMPUTED_VALUE"""),FALSE)</f>
        <v>0</v>
      </c>
      <c r="O29" s="64">
        <f ca="1">IFERROR(__xludf.DUMMYFUNCTION("""COMPUTED_VALUE"""),0)</f>
        <v>0</v>
      </c>
      <c r="P29" s="64" t="str">
        <f ca="1">IFERROR(__xludf.DUMMYFUNCTION("""COMPUTED_VALUE"""),"Common")</f>
        <v>Common</v>
      </c>
      <c r="Q29" s="64"/>
      <c r="R29" s="64" t="str">
        <f ca="1">IFERROR(__xludf.DUMMYFUNCTION("""COMPUTED_VALUE"""),"Fruit")</f>
        <v>Fruit</v>
      </c>
      <c r="S29" s="64" t="str">
        <f ca="1">IFERROR(__xludf.DUMMYFUNCTION("""COMPUTED_VALUE"""),"Natural")</f>
        <v>Natural</v>
      </c>
      <c r="T29" s="64" t="str">
        <f ca="1">IFERROR(__xludf.DUMMYFUNCTION("""COMPUTED_VALUE"""),"None")</f>
        <v>None</v>
      </c>
      <c r="U29" s="64" t="str">
        <f ca="1">IFERROR(__xludf.DUMMYFUNCTION("""COMPUTED_VALUE"""),"None")</f>
        <v>None</v>
      </c>
      <c r="V29" s="64" t="str">
        <f ca="1">IFERROR(__xludf.DUMMYFUNCTION("""COMPUTED_VALUE"""),"pepperpult")</f>
        <v>pepperpult</v>
      </c>
      <c r="W29" s="64" t="str">
        <f ca="1">IFERROR(__xludf.DUMMYFUNCTION("""COMPUTED_VALUE"""),"Ranged")</f>
        <v>Ranged</v>
      </c>
      <c r="X29" s="64" t="str">
        <f ca="1">IFERROR(__xludf.DUMMYFUNCTION("""COMPUTED_VALUE"""),"PvZ 2, PvZ 2 Chinease")</f>
        <v>PvZ 2, PvZ 2 Chinease</v>
      </c>
      <c r="Y29" s="65" t="str">
        <f ca="1">IFERROR(__xludf.DUMMYFUNCTION("""COMPUTED_VALUE"""),"https://static.wikia.nocookie.net/plantsvszombies/images/8/84/Pepper-pult2.png/revision/latest?cb=20150110133328")</f>
        <v>https://static.wikia.nocookie.net/plantsvszombies/images/8/84/Pepper-pult2.png/revision/latest?cb=20150110133328</v>
      </c>
    </row>
    <row r="30" spans="1:25" x14ac:dyDescent="0.2">
      <c r="A30" s="64">
        <f ca="1">IFERROR(__xludf.DUMMYFUNCTION("""COMPUTED_VALUE"""),29)</f>
        <v>29</v>
      </c>
      <c r="B30" s="64" t="str">
        <f ca="1">IFERROR(__xludf.DUMMYFUNCTION("""COMPUTED_VALUE"""),"Chard Guard")</f>
        <v>Chard Guard</v>
      </c>
      <c r="C30" s="64" t="str">
        <f ca="1">IFERROR(__xludf.DUMMYFUNCTION("""COMPUTED_VALUE"""),"Bateguarda")</f>
        <v>Bateguarda</v>
      </c>
      <c r="D30" s="64" t="str">
        <f ca="1">IFERROR(__xludf.DUMMYFUNCTION("""COMPUTED_VALUE"""),"Endurecida")</f>
        <v>Endurecida</v>
      </c>
      <c r="E30" s="64" t="str">
        <f ca="1">IFERROR(__xludf.DUMMYFUNCTION("""COMPUTED_VALUE"""),"Afasta zumbis até 3 vezes.")</f>
        <v>Afasta zumbis até 3 vezes.</v>
      </c>
      <c r="F30" s="64">
        <f ca="1">IFERROR(__xludf.DUMMYFUNCTION("""COMPUTED_VALUE"""),75)</f>
        <v>75</v>
      </c>
      <c r="G30" s="64">
        <f ca="1">IFERROR(__xludf.DUMMYFUNCTION("""COMPUTED_VALUE"""),1500)</f>
        <v>1500</v>
      </c>
      <c r="H30" s="64">
        <f ca="1">IFERROR(__xludf.DUMMYFUNCTION("""COMPUTED_VALUE"""),0)</f>
        <v>0</v>
      </c>
      <c r="I30" s="64">
        <f ca="1">IFERROR(__xludf.DUMMYFUNCTION("""COMPUTED_VALUE"""),15)</f>
        <v>15</v>
      </c>
      <c r="J30" s="64" t="str">
        <f ca="1">IFERROR(__xludf.DUMMYFUNCTION("""COMPUTED_VALUE"""),"Regenerates leaves and hurls zombies in front, dealing a small amount of damage.")</f>
        <v>Regenerates leaves and hurls zombies in front, dealing a small amount of damage.</v>
      </c>
      <c r="K30" s="64"/>
      <c r="L30" s="64"/>
      <c r="M30" s="64" t="b">
        <f ca="1">IFERROR(__xludf.DUMMYFUNCTION("""COMPUTED_VALUE"""),FALSE)</f>
        <v>0</v>
      </c>
      <c r="N30" s="64" t="b">
        <f ca="1">IFERROR(__xludf.DUMMYFUNCTION("""COMPUTED_VALUE"""),FALSE)</f>
        <v>0</v>
      </c>
      <c r="O30" s="64">
        <f ca="1">IFERROR(__xludf.DUMMYFUNCTION("""COMPUTED_VALUE"""),0)</f>
        <v>0</v>
      </c>
      <c r="P30" s="64" t="str">
        <f ca="1">IFERROR(__xludf.DUMMYFUNCTION("""COMPUTED_VALUE"""),"Common")</f>
        <v>Common</v>
      </c>
      <c r="Q30" s="64" t="str">
        <f ca="1">IFERROR(__xludf.DUMMYFUNCTION("""COMPUTED_VALUE"""),"control")</f>
        <v>control</v>
      </c>
      <c r="R30" s="64" t="str">
        <f ca="1">IFERROR(__xludf.DUMMYFUNCTION("""COMPUTED_VALUE"""),"Leaf")</f>
        <v>Leaf</v>
      </c>
      <c r="S30" s="64" t="str">
        <f ca="1">IFERROR(__xludf.DUMMYFUNCTION("""COMPUTED_VALUE"""),"Natural")</f>
        <v>Natural</v>
      </c>
      <c r="T30" s="64" t="str">
        <f ca="1">IFERROR(__xludf.DUMMYFUNCTION("""COMPUTED_VALUE"""),"None")</f>
        <v>None</v>
      </c>
      <c r="U30" s="64" t="str">
        <f ca="1">IFERROR(__xludf.DUMMYFUNCTION("""COMPUTED_VALUE"""),"None")</f>
        <v>None</v>
      </c>
      <c r="V30" s="64" t="str">
        <f ca="1">IFERROR(__xludf.DUMMYFUNCTION("""COMPUTED_VALUE"""),"chardguard")</f>
        <v>chardguard</v>
      </c>
      <c r="W30" s="64" t="str">
        <f ca="1">IFERROR(__xludf.DUMMYFUNCTION("""COMPUTED_VALUE"""),"Tough")</f>
        <v>Tough</v>
      </c>
      <c r="X30" s="64" t="str">
        <f ca="1">IFERROR(__xludf.DUMMYFUNCTION("""COMPUTED_VALUE"""),"PvZ 2, PvZ 2 Chinease")</f>
        <v>PvZ 2, PvZ 2 Chinease</v>
      </c>
      <c r="Y30" s="65" t="str">
        <f ca="1">IFERROR(__xludf.DUMMYFUNCTION("""COMPUTED_VALUE"""),"https://static.wikia.nocookie.net/plantsvszombies/images/d/db/Chard_Guard2.png/revision/latest?cb=20230320034950")</f>
        <v>https://static.wikia.nocookie.net/plantsvszombies/images/d/db/Chard_Guard2.png/revision/latest?cb=20230320034950</v>
      </c>
    </row>
    <row r="31" spans="1:25" x14ac:dyDescent="0.2">
      <c r="A31" s="64">
        <f ca="1">IFERROR(__xludf.DUMMYFUNCTION("""COMPUTED_VALUE"""),30)</f>
        <v>30</v>
      </c>
      <c r="B31" s="64" t="str">
        <f ca="1">IFERROR(__xludf.DUMMYFUNCTION("""COMPUTED_VALUE"""),"Stunion")</f>
        <v>Stunion</v>
      </c>
      <c r="C31" s="64" t="str">
        <f ca="1">IFERROR(__xludf.DUMMYFUNCTION("""COMPUTED_VALUE"""),"Cebafão")</f>
        <v>Cebafão</v>
      </c>
      <c r="D31" s="64" t="str">
        <f ca="1">IFERROR(__xludf.DUMMYFUNCTION("""COMPUTED_VALUE"""),"Refrea")</f>
        <v>Refrea</v>
      </c>
      <c r="E31" s="64" t="str">
        <f ca="1">IFERROR(__xludf.DUMMYFUNCTION("""COMPUTED_VALUE"""),"Paraliza zumbis próximos.")</f>
        <v>Paraliza zumbis próximos.</v>
      </c>
      <c r="F31" s="64">
        <f ca="1">IFERROR(__xludf.DUMMYFUNCTION("""COMPUTED_VALUE"""),25)</f>
        <v>25</v>
      </c>
      <c r="G31" s="64">
        <f ca="1">IFERROR(__xludf.DUMMYFUNCTION("""COMPUTED_VALUE"""),300)</f>
        <v>300</v>
      </c>
      <c r="H31" s="64">
        <f ca="1">IFERROR(__xludf.DUMMYFUNCTION("""COMPUTED_VALUE"""),0)</f>
        <v>0</v>
      </c>
      <c r="I31" s="64">
        <f ca="1">IFERROR(__xludf.DUMMYFUNCTION("""COMPUTED_VALUE"""),20)</f>
        <v>20</v>
      </c>
      <c r="J31" s="64" t="str">
        <f ca="1">IFERROR(__xludf.DUMMYFUNCTION("""COMPUTED_VALUE"""),"Releases a large burst of gas in a forward area, moderately stunning all zombies.")</f>
        <v>Releases a large burst of gas in a forward area, moderately stunning all zombies.</v>
      </c>
      <c r="K31" s="64"/>
      <c r="L31" s="64" t="str">
        <f ca="1">IFERROR(__xludf.DUMMYFUNCTION("""COMPUTED_VALUE"""),"Special - Stuns nearby zombies.")</f>
        <v>Special - Stuns nearby zombies.</v>
      </c>
      <c r="M31" s="64" t="b">
        <f ca="1">IFERROR(__xludf.DUMMYFUNCTION("""COMPUTED_VALUE"""),TRUE)</f>
        <v>1</v>
      </c>
      <c r="N31" s="64" t="b">
        <f ca="1">IFERROR(__xludf.DUMMYFUNCTION("""COMPUTED_VALUE"""),FALSE)</f>
        <v>0</v>
      </c>
      <c r="O31" s="64">
        <f ca="1">IFERROR(__xludf.DUMMYFUNCTION("""COMPUTED_VALUE"""),0)</f>
        <v>0</v>
      </c>
      <c r="P31" s="64" t="str">
        <f ca="1">IFERROR(__xludf.DUMMYFUNCTION("""COMPUTED_VALUE"""),"Epic")</f>
        <v>Epic</v>
      </c>
      <c r="Q31" s="64" t="str">
        <f ca="1">IFERROR(__xludf.DUMMYFUNCTION("""COMPUTED_VALUE"""),"stun, area-effect")</f>
        <v>stun, area-effect</v>
      </c>
      <c r="R31" s="64" t="str">
        <f ca="1">IFERROR(__xludf.DUMMYFUNCTION("""COMPUTED_VALUE"""),"Vegetable")</f>
        <v>Vegetable</v>
      </c>
      <c r="S31" s="64" t="str">
        <f ca="1">IFERROR(__xludf.DUMMYFUNCTION("""COMPUTED_VALUE"""),"Natural")</f>
        <v>Natural</v>
      </c>
      <c r="T31" s="64" t="str">
        <f ca="1">IFERROR(__xludf.DUMMYFUNCTION("""COMPUTED_VALUE"""),"None")</f>
        <v>None</v>
      </c>
      <c r="U31" s="64" t="str">
        <f ca="1">IFERROR(__xludf.DUMMYFUNCTION("""COMPUTED_VALUE"""),"None")</f>
        <v>None</v>
      </c>
      <c r="V31" s="64" t="str">
        <f ca="1">IFERROR(__xludf.DUMMYFUNCTION("""COMPUTED_VALUE"""),"stunion")</f>
        <v>stunion</v>
      </c>
      <c r="W31" s="64" t="str">
        <f ca="1">IFERROR(__xludf.DUMMYFUNCTION("""COMPUTED_VALUE"""),"Special")</f>
        <v>Special</v>
      </c>
      <c r="X31" s="64" t="str">
        <f ca="1">IFERROR(__xludf.DUMMYFUNCTION("""COMPUTED_VALUE"""),"PvZ 2, PvZ 2 Chinease")</f>
        <v>PvZ 2, PvZ 2 Chinease</v>
      </c>
      <c r="Y31" s="65" t="str">
        <f ca="1">IFERROR(__xludf.DUMMYFUNCTION("""COMPUTED_VALUE"""),"https://static.wikia.nocookie.net/plantsvszombies/images/a/ae/Stunion2.png/revision/latest?cb=20230219060147")</f>
        <v>https://static.wikia.nocookie.net/plantsvszombies/images/a/ae/Stunion2.png/revision/latest?cb=20230219060147</v>
      </c>
    </row>
    <row r="32" spans="1:25" x14ac:dyDescent="0.2">
      <c r="A32" s="64">
        <f ca="1">IFERROR(__xludf.DUMMYFUNCTION("""COMPUTED_VALUE"""),31)</f>
        <v>31</v>
      </c>
      <c r="B32" s="64" t="str">
        <f ca="1">IFERROR(__xludf.DUMMYFUNCTION("""COMPUTED_VALUE"""),"Rotobaga")</f>
        <v>Rotobaga</v>
      </c>
      <c r="C32" s="64" t="str">
        <f ca="1">IFERROR(__xludf.DUMMYFUNCTION("""COMPUTED_VALUE"""),"Nabolhadora")</f>
        <v>Nabolhadora</v>
      </c>
      <c r="D32" s="64" t="str">
        <f ca="1">IFERROR(__xludf.DUMMYFUNCTION("""COMPUTED_VALUE"""),"Dispara")</f>
        <v>Dispara</v>
      </c>
      <c r="E32" s="64" t="str">
        <f ca="1">IFERROR(__xludf.DUMMYFUNCTION("""COMPUTED_VALUE"""),"Dispara quatro ataques em quatro diagonais.")</f>
        <v>Dispara quatro ataques em quatro diagonais.</v>
      </c>
      <c r="F32" s="64">
        <f ca="1">IFERROR(__xludf.DUMMYFUNCTION("""COMPUTED_VALUE"""),150)</f>
        <v>150</v>
      </c>
      <c r="G32" s="64">
        <f ca="1">IFERROR(__xludf.DUMMYFUNCTION("""COMPUTED_VALUE"""),300)</f>
        <v>300</v>
      </c>
      <c r="H32" s="64">
        <f ca="1">IFERROR(__xludf.DUMMYFUNCTION("""COMPUTED_VALUE"""),10)</f>
        <v>10</v>
      </c>
      <c r="I32" s="64">
        <f ca="1">IFERROR(__xludf.DUMMYFUNCTION("""COMPUTED_VALUE"""),5)</f>
        <v>5</v>
      </c>
      <c r="J32" s="64" t="str">
        <f ca="1">IFERROR(__xludf.DUMMYFUNCTION("""COMPUTED_VALUE"""),"Shoots multiple huge rotobagas in four directions.")</f>
        <v>Shoots multiple huge rotobagas in four directions.</v>
      </c>
      <c r="K32" s="64"/>
      <c r="L32" s="64"/>
      <c r="M32" s="64" t="b">
        <f ca="1">IFERROR(__xludf.DUMMYFUNCTION("""COMPUTED_VALUE"""),FALSE)</f>
        <v>0</v>
      </c>
      <c r="N32" s="64" t="b">
        <f ca="1">IFERROR(__xludf.DUMMYFUNCTION("""COMPUTED_VALUE"""),FALSE)</f>
        <v>0</v>
      </c>
      <c r="O32" s="64">
        <f ca="1">IFERROR(__xludf.DUMMYFUNCTION("""COMPUTED_VALUE"""),0)</f>
        <v>0</v>
      </c>
      <c r="P32" s="64" t="str">
        <f ca="1">IFERROR(__xludf.DUMMYFUNCTION("""COMPUTED_VALUE"""),"Common")</f>
        <v>Common</v>
      </c>
      <c r="Q32" s="64" t="str">
        <f ca="1">IFERROR(__xludf.DUMMYFUNCTION("""COMPUTED_VALUE"""),"flying")</f>
        <v>flying</v>
      </c>
      <c r="R32" s="64" t="str">
        <f ca="1">IFERROR(__xludf.DUMMYFUNCTION("""COMPUTED_VALUE"""),"Root")</f>
        <v>Root</v>
      </c>
      <c r="S32" s="64" t="str">
        <f ca="1">IFERROR(__xludf.DUMMYFUNCTION("""COMPUTED_VALUE"""),"Natural")</f>
        <v>Natural</v>
      </c>
      <c r="T32" s="64" t="str">
        <f ca="1">IFERROR(__xludf.DUMMYFUNCTION("""COMPUTED_VALUE"""),"None")</f>
        <v>None</v>
      </c>
      <c r="U32" s="64" t="str">
        <f ca="1">IFERROR(__xludf.DUMMYFUNCTION("""COMPUTED_VALUE"""),"None")</f>
        <v>None</v>
      </c>
      <c r="V32" s="64" t="str">
        <f ca="1">IFERROR(__xludf.DUMMYFUNCTION("""COMPUTED_VALUE"""),"xshot")</f>
        <v>xshot</v>
      </c>
      <c r="W32" s="64" t="str">
        <f ca="1">IFERROR(__xludf.DUMMYFUNCTION("""COMPUTED_VALUE"""),"Ranged")</f>
        <v>Ranged</v>
      </c>
      <c r="X32" s="64" t="str">
        <f ca="1">IFERROR(__xludf.DUMMYFUNCTION("""COMPUTED_VALUE"""),"PvZ 2, PvZ 2 Chinease, PvZ Heroes")</f>
        <v>PvZ 2, PvZ 2 Chinease, PvZ Heroes</v>
      </c>
      <c r="Y32" s="65" t="str">
        <f ca="1">IFERROR(__xludf.DUMMYFUNCTION("""COMPUTED_VALUE"""),"https://static.wikia.nocookie.net/plantsvszombies/images/7/79/Rotobaga2.png/revision/latest?cb=20220223145124")</f>
        <v>https://static.wikia.nocookie.net/plantsvszombies/images/7/79/Rotobaga2.png/revision/latest?cb=20220223145124</v>
      </c>
    </row>
    <row r="33" spans="1:25" x14ac:dyDescent="0.2">
      <c r="A33" s="64">
        <f ca="1">IFERROR(__xludf.DUMMYFUNCTION("""COMPUTED_VALUE"""),32)</f>
        <v>32</v>
      </c>
      <c r="B33" s="64" t="str">
        <f ca="1">IFERROR(__xludf.DUMMYFUNCTION("""COMPUTED_VALUE"""),"Red Stinger")</f>
        <v>Red Stinger</v>
      </c>
      <c r="C33" s="64" t="str">
        <f ca="1">IFERROR(__xludf.DUMMYFUNCTION("""COMPUTED_VALUE"""),"Ferrão Escarlate")</f>
        <v>Ferrão Escarlate</v>
      </c>
      <c r="D33" s="64" t="str">
        <f ca="1">IFERROR(__xludf.DUMMYFUNCTION("""COMPUTED_VALUE"""),"Dispara")</f>
        <v>Dispara</v>
      </c>
      <c r="E33" s="64" t="str">
        <f ca="1">IFERROR(__xludf.DUMMYFUNCTION("""COMPUTED_VALUE"""),"Dispara até duas vezes e/ou protege, dependendo de sua posição no campo.")</f>
        <v>Dispara até duas vezes e/ou protege, dependendo de sua posição no campo.</v>
      </c>
      <c r="F33" s="64">
        <f ca="1">IFERROR(__xludf.DUMMYFUNCTION("""COMPUTED_VALUE"""),150)</f>
        <v>150</v>
      </c>
      <c r="G33" s="64">
        <f ca="1">IFERROR(__xludf.DUMMYFUNCTION("""COMPUTED_VALUE"""),300)</f>
        <v>300</v>
      </c>
      <c r="H33" s="64">
        <f ca="1">IFERROR(__xludf.DUMMYFUNCTION("""COMPUTED_VALUE"""),30)</f>
        <v>30</v>
      </c>
      <c r="I33" s="64">
        <f ca="1">IFERROR(__xludf.DUMMYFUNCTION("""COMPUTED_VALUE"""),5)</f>
        <v>5</v>
      </c>
      <c r="J33" s="64" t="str">
        <f ca="1">IFERROR(__xludf.DUMMYFUNCTION("""COMPUTED_VALUE"""),"Fires a laser beam that pierces through all zombies in its column, dealing damage and temporarily slows their movement.")</f>
        <v>Fires a laser beam that pierces through all zombies in its column, dealing damage and temporarily slows their movement.</v>
      </c>
      <c r="K33" s="64"/>
      <c r="L33" s="64"/>
      <c r="M33" s="64" t="b">
        <f ca="1">IFERROR(__xludf.DUMMYFUNCTION("""COMPUTED_VALUE"""),FALSE)</f>
        <v>0</v>
      </c>
      <c r="N33" s="64" t="b">
        <f ca="1">IFERROR(__xludf.DUMMYFUNCTION("""COMPUTED_VALUE"""),FALSE)</f>
        <v>0</v>
      </c>
      <c r="O33" s="64">
        <f ca="1">IFERROR(__xludf.DUMMYFUNCTION("""COMPUTED_VALUE"""),0)</f>
        <v>0</v>
      </c>
      <c r="P33" s="64" t="str">
        <f ca="1">IFERROR(__xludf.DUMMYFUNCTION("""COMPUTED_VALUE"""),"Common")</f>
        <v>Common</v>
      </c>
      <c r="Q33" s="64"/>
      <c r="R33" s="64" t="str">
        <f ca="1">IFERROR(__xludf.DUMMYFUNCTION("""COMPUTED_VALUE"""),"Flower")</f>
        <v>Flower</v>
      </c>
      <c r="S33" s="64" t="str">
        <f ca="1">IFERROR(__xludf.DUMMYFUNCTION("""COMPUTED_VALUE"""),"Natural")</f>
        <v>Natural</v>
      </c>
      <c r="T33" s="64" t="str">
        <f ca="1">IFERROR(__xludf.DUMMYFUNCTION("""COMPUTED_VALUE"""),"1500")</f>
        <v>1500</v>
      </c>
      <c r="U33" s="64" t="str">
        <f ca="1">IFERROR(__xludf.DUMMYFUNCTION("""COMPUTED_VALUE"""),"0")</f>
        <v>0</v>
      </c>
      <c r="V33" s="64" t="str">
        <f ca="1">IFERROR(__xludf.DUMMYFUNCTION("""COMPUTED_VALUE"""),"redstinger")</f>
        <v>redstinger</v>
      </c>
      <c r="W33" s="64" t="str">
        <f ca="1">IFERROR(__xludf.DUMMYFUNCTION("""COMPUTED_VALUE"""),"Ranged")</f>
        <v>Ranged</v>
      </c>
      <c r="X33" s="64" t="str">
        <f ca="1">IFERROR(__xludf.DUMMYFUNCTION("""COMPUTED_VALUE"""),"PvZ 2, PvZ 2 Chinease, PvZ Heroes")</f>
        <v>PvZ 2, PvZ 2 Chinease, PvZ Heroes</v>
      </c>
      <c r="Y33" s="65" t="str">
        <f ca="1">IFERROR(__xludf.DUMMYFUNCTION("""COMPUTED_VALUE"""),"https://static.wikia.nocookie.net/plantsvszombies/images/6/66/Red_Stinger2.png/revision/latest?cb=20160914232205")</f>
        <v>https://static.wikia.nocookie.net/plantsvszombies/images/6/66/Red_Stinger2.png/revision/latest?cb=20160914232205</v>
      </c>
    </row>
    <row r="34" spans="1:25" x14ac:dyDescent="0.2">
      <c r="A34" s="64">
        <f ca="1">IFERROR(__xludf.DUMMYFUNCTION("""COMPUTED_VALUE"""),33)</f>
        <v>33</v>
      </c>
      <c r="B34" s="64" t="str">
        <f ca="1">IFERROR(__xludf.DUMMYFUNCTION("""COMPUTED_VALUE"""),"A.K.E.E.")</f>
        <v>A.K.E.E.</v>
      </c>
      <c r="C34" s="64" t="str">
        <f ca="1">IFERROR(__xludf.DUMMYFUNCTION("""COMPUTED_VALUE"""),"A.K.E.E.")</f>
        <v>A.K.E.E.</v>
      </c>
      <c r="D34" s="64" t="str">
        <f ca="1">IFERROR(__xludf.DUMMYFUNCTION("""COMPUTED_VALUE"""),"Arma")</f>
        <v>Arma</v>
      </c>
      <c r="E34" s="64" t="str">
        <f ca="1">IFERROR(__xludf.DUMMYFUNCTION("""COMPUTED_VALUE"""),"Dispara em parábola, acertando até 3 zumbis.")</f>
        <v>Dispara em parábola, acertando até 3 zumbis.</v>
      </c>
      <c r="F34" s="64">
        <f ca="1">IFERROR(__xludf.DUMMYFUNCTION("""COMPUTED_VALUE"""),175)</f>
        <v>175</v>
      </c>
      <c r="G34" s="64">
        <f ca="1">IFERROR(__xludf.DUMMYFUNCTION("""COMPUTED_VALUE"""),300)</f>
        <v>300</v>
      </c>
      <c r="H34" s="64">
        <f ca="1">IFERROR(__xludf.DUMMYFUNCTION("""COMPUTED_VALUE"""),60)</f>
        <v>60</v>
      </c>
      <c r="I34" s="64">
        <f ca="1">IFERROR(__xludf.DUMMYFUNCTION("""COMPUTED_VALUE"""),5)</f>
        <v>5</v>
      </c>
      <c r="J34" s="64" t="str">
        <f ca="1">IFERROR(__xludf.DUMMYFUNCTION("""COMPUTED_VALUE"""),"Lobs a large seed that deals damage to zombies on every bounce.")</f>
        <v>Lobs a large seed that deals damage to zombies on every bounce.</v>
      </c>
      <c r="K34" s="64"/>
      <c r="L34" s="64"/>
      <c r="M34" s="64" t="b">
        <f ca="1">IFERROR(__xludf.DUMMYFUNCTION("""COMPUTED_VALUE"""),FALSE)</f>
        <v>0</v>
      </c>
      <c r="N34" s="64" t="b">
        <f ca="1">IFERROR(__xludf.DUMMYFUNCTION("""COMPUTED_VALUE"""),FALSE)</f>
        <v>0</v>
      </c>
      <c r="O34" s="64">
        <f ca="1">IFERROR(__xludf.DUMMYFUNCTION("""COMPUTED_VALUE"""),0)</f>
        <v>0</v>
      </c>
      <c r="P34" s="64" t="str">
        <f ca="1">IFERROR(__xludf.DUMMYFUNCTION("""COMPUTED_VALUE"""),"Common")</f>
        <v>Common</v>
      </c>
      <c r="Q34" s="64"/>
      <c r="R34" s="64" t="str">
        <f ca="1">IFERROR(__xludf.DUMMYFUNCTION("""COMPUTED_VALUE"""),"Pea")</f>
        <v>Pea</v>
      </c>
      <c r="S34" s="64" t="str">
        <f ca="1">IFERROR(__xludf.DUMMYFUNCTION("""COMPUTED_VALUE"""),"Natural")</f>
        <v>Natural</v>
      </c>
      <c r="T34" s="64" t="str">
        <f ca="1">IFERROR(__xludf.DUMMYFUNCTION("""COMPUTED_VALUE"""),"None")</f>
        <v>None</v>
      </c>
      <c r="U34" s="64" t="str">
        <f ca="1">IFERROR(__xludf.DUMMYFUNCTION("""COMPUTED_VALUE"""),"None")</f>
        <v>None</v>
      </c>
      <c r="V34" s="64" t="str">
        <f ca="1">IFERROR(__xludf.DUMMYFUNCTION("""COMPUTED_VALUE"""),"akee")</f>
        <v>akee</v>
      </c>
      <c r="W34" s="64" t="str">
        <f ca="1">IFERROR(__xludf.DUMMYFUNCTION("""COMPUTED_VALUE"""),"Ranged")</f>
        <v>Ranged</v>
      </c>
      <c r="X34" s="64" t="str">
        <f ca="1">IFERROR(__xludf.DUMMYFUNCTION("""COMPUTED_VALUE"""),"PvZ 2, PvZ 2 Chinease")</f>
        <v>PvZ 2, PvZ 2 Chinease</v>
      </c>
      <c r="Y34" s="65" t="str">
        <f ca="1">IFERROR(__xludf.DUMMYFUNCTION("""COMPUTED_VALUE"""),"https://static.wikia.nocookie.net/plantsvszombies/images/7/7f/A.K.E.E.2.png/revision/latest?cb=20160902061921")</f>
        <v>https://static.wikia.nocookie.net/plantsvszombies/images/7/7f/A.K.E.E.2.png/revision/latest?cb=20160902061921</v>
      </c>
    </row>
    <row r="35" spans="1:25" x14ac:dyDescent="0.2">
      <c r="A35" s="64">
        <f ca="1">IFERROR(__xludf.DUMMYFUNCTION("""COMPUTED_VALUE"""),34)</f>
        <v>34</v>
      </c>
      <c r="B35" s="64" t="str">
        <f ca="1">IFERROR(__xludf.DUMMYFUNCTION("""COMPUTED_VALUE"""),"Endurian")</f>
        <v>Endurian</v>
      </c>
      <c r="C35" s="64" t="str">
        <f ca="1">IFERROR(__xludf.DUMMYFUNCTION("""COMPUTED_VALUE"""),"Cendurião")</f>
        <v>Cendurião</v>
      </c>
      <c r="D35" s="64" t="str">
        <f ca="1">IFERROR(__xludf.DUMMYFUNCTION("""COMPUTED_VALUE"""),"Endurecida")</f>
        <v>Endurecida</v>
      </c>
      <c r="E35" s="64" t="str">
        <f ca="1">IFERROR(__xludf.DUMMYFUNCTION("""COMPUTED_VALUE"""),"Fornece proteção quanto ataca os zumbis que a ataquem.")</f>
        <v>Fornece proteção quanto ataca os zumbis que a ataquem.</v>
      </c>
      <c r="F35" s="64">
        <f ca="1">IFERROR(__xludf.DUMMYFUNCTION("""COMPUTED_VALUE"""),100)</f>
        <v>100</v>
      </c>
      <c r="G35" s="64">
        <f ca="1">IFERROR(__xludf.DUMMYFUNCTION("""COMPUTED_VALUE"""),3000)</f>
        <v>3000</v>
      </c>
      <c r="H35" s="64">
        <f ca="1">IFERROR(__xludf.DUMMYFUNCTION("""COMPUTED_VALUE"""),20)</f>
        <v>20</v>
      </c>
      <c r="I35" s="64">
        <f ca="1">IFERROR(__xludf.DUMMYFUNCTION("""COMPUTED_VALUE"""),15)</f>
        <v>15</v>
      </c>
      <c r="J35" s="64" t="str">
        <f ca="1">IFERROR(__xludf.DUMMYFUNCTION("""COMPUTED_VALUE"""),"Heals itself and permanently gains additional armor and damage.")</f>
        <v>Heals itself and permanently gains additional armor and damage.</v>
      </c>
      <c r="K35" s="64"/>
      <c r="L35" s="64"/>
      <c r="M35" s="64" t="b">
        <f ca="1">IFERROR(__xludf.DUMMYFUNCTION("""COMPUTED_VALUE"""),FALSE)</f>
        <v>0</v>
      </c>
      <c r="N35" s="64" t="b">
        <f ca="1">IFERROR(__xludf.DUMMYFUNCTION("""COMPUTED_VALUE"""),FALSE)</f>
        <v>0</v>
      </c>
      <c r="O35" s="64">
        <f ca="1">IFERROR(__xludf.DUMMYFUNCTION("""COMPUTED_VALUE"""),0)</f>
        <v>0</v>
      </c>
      <c r="P35" s="64" t="str">
        <f ca="1">IFERROR(__xludf.DUMMYFUNCTION("""COMPUTED_VALUE"""),"Uncommon")</f>
        <v>Uncommon</v>
      </c>
      <c r="Q35" s="64" t="str">
        <f ca="1">IFERROR(__xludf.DUMMYFUNCTION("""COMPUTED_VALUE"""),"counter, spikes")</f>
        <v>counter, spikes</v>
      </c>
      <c r="R35" s="64" t="str">
        <f ca="1">IFERROR(__xludf.DUMMYFUNCTION("""COMPUTED_VALUE"""),"Fruit")</f>
        <v>Fruit</v>
      </c>
      <c r="S35" s="64" t="str">
        <f ca="1">IFERROR(__xludf.DUMMYFUNCTION("""COMPUTED_VALUE"""),"Natural")</f>
        <v>Natural</v>
      </c>
      <c r="T35" s="64" t="str">
        <f ca="1">IFERROR(__xludf.DUMMYFUNCTION("""COMPUTED_VALUE"""),"None")</f>
        <v>None</v>
      </c>
      <c r="U35" s="64" t="str">
        <f ca="1">IFERROR(__xludf.DUMMYFUNCTION("""COMPUTED_VALUE"""),"None")</f>
        <v>None</v>
      </c>
      <c r="V35" s="64" t="str">
        <f ca="1">IFERROR(__xludf.DUMMYFUNCTION("""COMPUTED_VALUE"""),"endurian")</f>
        <v>endurian</v>
      </c>
      <c r="W35" s="64" t="str">
        <f ca="1">IFERROR(__xludf.DUMMYFUNCTION("""COMPUTED_VALUE"""),"Tough")</f>
        <v>Tough</v>
      </c>
      <c r="X35" s="64" t="str">
        <f ca="1">IFERROR(__xludf.DUMMYFUNCTION("""COMPUTED_VALUE"""),"PvZ 2, PvZ 2 Chinease")</f>
        <v>PvZ 2, PvZ 2 Chinease</v>
      </c>
      <c r="Y35" s="65" t="str">
        <f ca="1">IFERROR(__xludf.DUMMYFUNCTION("""COMPUTED_VALUE"""),"https://static.wikia.nocookie.net/plantsvszombies/images/5/52/Endurian2.png/revision/latest?cb=20160831005313")</f>
        <v>https://static.wikia.nocookie.net/plantsvszombies/images/5/52/Endurian2.png/revision/latest?cb=20160831005313</v>
      </c>
    </row>
    <row r="36" spans="1:25" x14ac:dyDescent="0.2">
      <c r="A36" s="64">
        <f ca="1">IFERROR(__xludf.DUMMYFUNCTION("""COMPUTED_VALUE"""),35)</f>
        <v>35</v>
      </c>
      <c r="B36" s="64" t="str">
        <f ca="1">IFERROR(__xludf.DUMMYFUNCTION("""COMPUTED_VALUE"""),"Stallia")</f>
        <v>Stallia</v>
      </c>
      <c r="C36" s="64" t="str">
        <f ca="1">IFERROR(__xludf.DUMMYFUNCTION("""COMPUTED_VALUE"""),"Atordália")</f>
        <v>Atordália</v>
      </c>
      <c r="D36" s="64" t="str">
        <f ca="1">IFERROR(__xludf.DUMMYFUNCTION("""COMPUTED_VALUE"""),"Refrea")</f>
        <v>Refrea</v>
      </c>
      <c r="E36" s="64" t="str">
        <f ca="1">IFERROR(__xludf.DUMMYFUNCTION("""COMPUTED_VALUE"""),"Atordoa os zumbis em uma área 3x3.")</f>
        <v>Atordoa os zumbis em uma área 3x3.</v>
      </c>
      <c r="F36" s="64">
        <f ca="1">IFERROR(__xludf.DUMMYFUNCTION("""COMPUTED_VALUE"""),0)</f>
        <v>0</v>
      </c>
      <c r="G36" s="64">
        <f ca="1">IFERROR(__xludf.DUMMYFUNCTION("""COMPUTED_VALUE"""),1)</f>
        <v>1</v>
      </c>
      <c r="H36" s="64">
        <f ca="1">IFERROR(__xludf.DUMMYFUNCTION("""COMPUTED_VALUE"""),0)</f>
        <v>0</v>
      </c>
      <c r="I36" s="64">
        <f ca="1">IFERROR(__xludf.DUMMYFUNCTION("""COMPUTED_VALUE"""),20)</f>
        <v>20</v>
      </c>
      <c r="J36" s="64" t="str">
        <f ca="1">IFERROR(__xludf.DUMMYFUNCTION("""COMPUTED_VALUE"""),"Slows every zombie on the lawn.")</f>
        <v>Slows every zombie on the lawn.</v>
      </c>
      <c r="K36" s="64"/>
      <c r="L36" s="64" t="str">
        <f ca="1">IFERROR(__xludf.DUMMYFUNCTION("""COMPUTED_VALUE"""),"Special - Slows nearby zombies")</f>
        <v>Special - Slows nearby zombies</v>
      </c>
      <c r="M36" s="64" t="b">
        <f ca="1">IFERROR(__xludf.DUMMYFUNCTION("""COMPUTED_VALUE"""),TRUE)</f>
        <v>1</v>
      </c>
      <c r="N36" s="64" t="b">
        <f ca="1">IFERROR(__xludf.DUMMYFUNCTION("""COMPUTED_VALUE"""),FALSE)</f>
        <v>0</v>
      </c>
      <c r="O36" s="64">
        <f ca="1">IFERROR(__xludf.DUMMYFUNCTION("""COMPUTED_VALUE"""),0)</f>
        <v>0</v>
      </c>
      <c r="P36" s="64" t="str">
        <f ca="1">IFERROR(__xludf.DUMMYFUNCTION("""COMPUTED_VALUE"""),"Common")</f>
        <v>Common</v>
      </c>
      <c r="Q36" s="64" t="str">
        <f ca="1">IFERROR(__xludf.DUMMYFUNCTION("""COMPUTED_VALUE"""),"slowing, poison, area-effect")</f>
        <v>slowing, poison, area-effect</v>
      </c>
      <c r="R36" s="64" t="str">
        <f ca="1">IFERROR(__xludf.DUMMYFUNCTION("""COMPUTED_VALUE"""),"Flower")</f>
        <v>Flower</v>
      </c>
      <c r="S36" s="64" t="str">
        <f ca="1">IFERROR(__xludf.DUMMYFUNCTION("""COMPUTED_VALUE"""),"Natural")</f>
        <v>Natural</v>
      </c>
      <c r="T36" s="64" t="str">
        <f ca="1">IFERROR(__xludf.DUMMYFUNCTION("""COMPUTED_VALUE"""),"None")</f>
        <v>None</v>
      </c>
      <c r="U36" s="64" t="str">
        <f ca="1">IFERROR(__xludf.DUMMYFUNCTION("""COMPUTED_VALUE"""),"None")</f>
        <v>None</v>
      </c>
      <c r="V36" s="64" t="str">
        <f ca="1">IFERROR(__xludf.DUMMYFUNCTION("""COMPUTED_VALUE"""),"stallia")</f>
        <v>stallia</v>
      </c>
      <c r="W36" s="64" t="str">
        <f ca="1">IFERROR(__xludf.DUMMYFUNCTION("""COMPUTED_VALUE"""),"Special")</f>
        <v>Special</v>
      </c>
      <c r="X36" s="64" t="str">
        <f ca="1">IFERROR(__xludf.DUMMYFUNCTION("""COMPUTED_VALUE"""),"PvZ 2, PvZ 2 Chinease")</f>
        <v>PvZ 2, PvZ 2 Chinease</v>
      </c>
      <c r="Y36" s="65" t="str">
        <f ca="1">IFERROR(__xludf.DUMMYFUNCTION("""COMPUTED_VALUE"""),"https://static.wikia.nocookie.net/plantsvszombies/images/c/cd/Stallia2.png/revision/latest?cb=20160502044126")</f>
        <v>https://static.wikia.nocookie.net/plantsvszombies/images/c/cd/Stallia2.png/revision/latest?cb=20160502044126</v>
      </c>
    </row>
    <row r="37" spans="1:25" x14ac:dyDescent="0.2">
      <c r="A37" s="64">
        <f ca="1">IFERROR(__xludf.DUMMYFUNCTION("""COMPUTED_VALUE"""),36)</f>
        <v>36</v>
      </c>
      <c r="B37" s="64" t="str">
        <f ca="1">IFERROR(__xludf.DUMMYFUNCTION("""COMPUTED_VALUE"""),"Gold Leaf")</f>
        <v>Gold Leaf</v>
      </c>
      <c r="C37" s="64" t="str">
        <f ca="1">IFERROR(__xludf.DUMMYFUNCTION("""COMPUTED_VALUE"""),"Folha de Ouro")</f>
        <v>Folha de Ouro</v>
      </c>
      <c r="D37" s="64" t="str">
        <f ca="1">IFERROR(__xludf.DUMMYFUNCTION("""COMPUTED_VALUE"""),"Esclarecida")</f>
        <v>Esclarecida</v>
      </c>
      <c r="E37" s="64" t="str">
        <f ca="1">IFERROR(__xludf.DUMMYFUNCTION("""COMPUTED_VALUE"""),"Gera um quadrado solar, se houver uma planta sobre ele, gera sóis adicionais.")</f>
        <v>Gera um quadrado solar, se houver uma planta sobre ele, gera sóis adicionais.</v>
      </c>
      <c r="F37" s="64">
        <f ca="1">IFERROR(__xludf.DUMMYFUNCTION("""COMPUTED_VALUE"""),80)</f>
        <v>80</v>
      </c>
      <c r="G37" s="64">
        <f ca="1">IFERROR(__xludf.DUMMYFUNCTION("""COMPUTED_VALUE"""),1)</f>
        <v>1</v>
      </c>
      <c r="H37" s="64">
        <f ca="1">IFERROR(__xludf.DUMMYFUNCTION("""COMPUTED_VALUE"""),0)</f>
        <v>0</v>
      </c>
      <c r="I37" s="64">
        <f ca="1">IFERROR(__xludf.DUMMYFUNCTION("""COMPUTED_VALUE"""),50)</f>
        <v>50</v>
      </c>
      <c r="J37" s="64" t="str">
        <f ca="1">IFERROR(__xludf.DUMMYFUNCTION("""COMPUTED_VALUE"""),"No Plant Food effect.")</f>
        <v>No Plant Food effect.</v>
      </c>
      <c r="K37" s="64"/>
      <c r="L37" s="64"/>
      <c r="M37" s="64" t="b">
        <f ca="1">IFERROR(__xludf.DUMMYFUNCTION("""COMPUTED_VALUE"""),TRUE)</f>
        <v>1</v>
      </c>
      <c r="N37" s="64" t="b">
        <f ca="1">IFERROR(__xludf.DUMMYFUNCTION("""COMPUTED_VALUE"""),TRUE)</f>
        <v>1</v>
      </c>
      <c r="O37" s="64">
        <f ca="1">IFERROR(__xludf.DUMMYFUNCTION("""COMPUTED_VALUE"""),50)</f>
        <v>50</v>
      </c>
      <c r="P37" s="64" t="str">
        <f ca="1">IFERROR(__xludf.DUMMYFUNCTION("""COMPUTED_VALUE"""),"Uncommon")</f>
        <v>Uncommon</v>
      </c>
      <c r="Q37" s="64" t="str">
        <f ca="1">IFERROR(__xludf.DUMMYFUNCTION("""COMPUTED_VALUE"""),"grounded")</f>
        <v>grounded</v>
      </c>
      <c r="R37" s="64" t="str">
        <f ca="1">IFERROR(__xludf.DUMMYFUNCTION("""COMPUTED_VALUE"""),"Leaf")</f>
        <v>Leaf</v>
      </c>
      <c r="S37" s="64" t="str">
        <f ca="1">IFERROR(__xludf.DUMMYFUNCTION("""COMPUTED_VALUE"""),"Natural")</f>
        <v>Natural</v>
      </c>
      <c r="T37" s="64" t="str">
        <f ca="1">IFERROR(__xludf.DUMMYFUNCTION("""COMPUTED_VALUE"""),"None")</f>
        <v>None</v>
      </c>
      <c r="U37" s="64" t="str">
        <f ca="1">IFERROR(__xludf.DUMMYFUNCTION("""COMPUTED_VALUE"""),"None")</f>
        <v>None</v>
      </c>
      <c r="V37" s="64" t="str">
        <f ca="1">IFERROR(__xludf.DUMMYFUNCTION("""COMPUTED_VALUE"""),"goldleaf")</f>
        <v>goldleaf</v>
      </c>
      <c r="W37" s="64" t="str">
        <f ca="1">IFERROR(__xludf.DUMMYFUNCTION("""COMPUTED_VALUE"""),"Sun")</f>
        <v>Sun</v>
      </c>
      <c r="X37" s="64" t="str">
        <f ca="1">IFERROR(__xludf.DUMMYFUNCTION("""COMPUTED_VALUE"""),"PvZ 2, PvZ 2 Chinease")</f>
        <v>PvZ 2, PvZ 2 Chinease</v>
      </c>
      <c r="Y37" s="65" t="str">
        <f ca="1">IFERROR(__xludf.DUMMYFUNCTION("""COMPUTED_VALUE"""),"https://static.wikia.nocookie.net/plantsvszombies/images/4/4e/Gold_Leaf2.png/revision/latest?cb=20150626074822")</f>
        <v>https://static.wikia.nocookie.net/plantsvszombies/images/4/4e/Gold_Leaf2.png/revision/latest?cb=20150626074822</v>
      </c>
    </row>
    <row r="38" spans="1:25" x14ac:dyDescent="0.2">
      <c r="A38" s="64">
        <f ca="1">IFERROR(__xludf.DUMMYFUNCTION("""COMPUTED_VALUE"""),37)</f>
        <v>37</v>
      </c>
      <c r="B38" s="64" t="str">
        <f ca="1">IFERROR(__xludf.DUMMYFUNCTION("""COMPUTED_VALUE"""),"Lazer Bean")</f>
        <v>Lazer Bean</v>
      </c>
      <c r="C38" s="64" t="str">
        <f ca="1">IFERROR(__xludf.DUMMYFUNCTION("""COMPUTED_VALUE"""),"Feijão Lazer")</f>
        <v>Feijão Lazer</v>
      </c>
      <c r="D38" s="64" t="str">
        <f ca="1">IFERROR(__xludf.DUMMYFUNCTION("""COMPUTED_VALUE"""),"Perfura")</f>
        <v>Perfura</v>
      </c>
      <c r="E38" s="64" t="str">
        <f ca="1">IFERROR(__xludf.DUMMYFUNCTION("""COMPUTED_VALUE"""),"Dispara um feixe que golpeia todos os oponentes.")</f>
        <v>Dispara um feixe que golpeia todos os oponentes.</v>
      </c>
      <c r="F38" s="64">
        <f ca="1">IFERROR(__xludf.DUMMYFUNCTION("""COMPUTED_VALUE"""),200)</f>
        <v>200</v>
      </c>
      <c r="G38" s="64">
        <f ca="1">IFERROR(__xludf.DUMMYFUNCTION("""COMPUTED_VALUE"""),300)</f>
        <v>300</v>
      </c>
      <c r="H38" s="64">
        <f ca="1">IFERROR(__xludf.DUMMYFUNCTION("""COMPUTED_VALUE"""),40)</f>
        <v>40</v>
      </c>
      <c r="I38" s="64">
        <f ca="1">IFERROR(__xludf.DUMMYFUNCTION("""COMPUTED_VALUE"""),5)</f>
        <v>5</v>
      </c>
      <c r="J38" s="64" t="str">
        <f ca="1">IFERROR(__xludf.DUMMYFUNCTION("""COMPUTED_VALUE"""),"Fires a huge laser beam at all zombies in the row, dealing huge damage to each zombie.")</f>
        <v>Fires a huge laser beam at all zombies in the row, dealing huge damage to each zombie.</v>
      </c>
      <c r="K38" s="64" t="str">
        <f ca="1">IFERROR(__xludf.DUMMYFUNCTION("""COMPUTED_VALUE"""),"Range all zombies in a lane")</f>
        <v>Range all zombies in a lane</v>
      </c>
      <c r="L38" s="64"/>
      <c r="M38" s="64" t="b">
        <f ca="1">IFERROR(__xludf.DUMMYFUNCTION("""COMPUTED_VALUE"""),FALSE)</f>
        <v>0</v>
      </c>
      <c r="N38" s="64" t="b">
        <f ca="1">IFERROR(__xludf.DUMMYFUNCTION("""COMPUTED_VALUE"""),FALSE)</f>
        <v>0</v>
      </c>
      <c r="O38" s="64">
        <f ca="1">IFERROR(__xludf.DUMMYFUNCTION("""COMPUTED_VALUE"""),0)</f>
        <v>0</v>
      </c>
      <c r="P38" s="64" t="str">
        <f ca="1">IFERROR(__xludf.DUMMYFUNCTION("""COMPUTED_VALUE"""),"Uncommon")</f>
        <v>Uncommon</v>
      </c>
      <c r="Q38" s="64"/>
      <c r="R38" s="64" t="str">
        <f ca="1">IFERROR(__xludf.DUMMYFUNCTION("""COMPUTED_VALUE"""),"Bean")</f>
        <v>Bean</v>
      </c>
      <c r="S38" s="64" t="str">
        <f ca="1">IFERROR(__xludf.DUMMYFUNCTION("""COMPUTED_VALUE"""),"Natural")</f>
        <v>Natural</v>
      </c>
      <c r="T38" s="64" t="str">
        <f ca="1">IFERROR(__xludf.DUMMYFUNCTION("""COMPUTED_VALUE"""),"None")</f>
        <v>None</v>
      </c>
      <c r="U38" s="64" t="str">
        <f ca="1">IFERROR(__xludf.DUMMYFUNCTION("""COMPUTED_VALUE"""),"None")</f>
        <v>None</v>
      </c>
      <c r="V38" s="64" t="str">
        <f ca="1">IFERROR(__xludf.DUMMYFUNCTION("""COMPUTED_VALUE"""),"laser_bean")</f>
        <v>laser_bean</v>
      </c>
      <c r="W38" s="64" t="str">
        <f ca="1">IFERROR(__xludf.DUMMYFUNCTION("""COMPUTED_VALUE"""),"Ranged")</f>
        <v>Ranged</v>
      </c>
      <c r="X38" s="64" t="str">
        <f ca="1">IFERROR(__xludf.DUMMYFUNCTION("""COMPUTED_VALUE"""),"PvZ 2, PvZ 2 Chinease, PvZ Heroes, PvZ GW 2, PvZ BfN")</f>
        <v>PvZ 2, PvZ 2 Chinease, PvZ Heroes, PvZ GW 2, PvZ BfN</v>
      </c>
      <c r="Y38" s="65" t="str">
        <f ca="1">IFERROR(__xludf.DUMMYFUNCTION("""COMPUTED_VALUE"""),"https://static.wikia.nocookie.net/plantsvszombies/images/9/9b/Laser_Bean2.png/revision/latest?cb=20141117200616")</f>
        <v>https://static.wikia.nocookie.net/plantsvszombies/images/9/9b/Laser_Bean2.png/revision/latest?cb=20141117200616</v>
      </c>
    </row>
    <row r="39" spans="1:25" x14ac:dyDescent="0.2">
      <c r="A39" s="64">
        <f ca="1">IFERROR(__xludf.DUMMYFUNCTION("""COMPUTED_VALUE"""),38)</f>
        <v>38</v>
      </c>
      <c r="B39" s="64" t="str">
        <f ca="1">IFERROR(__xludf.DUMMYFUNCTION("""COMPUTED_VALUE"""),"Blover")</f>
        <v>Blover</v>
      </c>
      <c r="C39" s="64" t="str">
        <f ca="1">IFERROR(__xludf.DUMMYFUNCTION("""COMPUTED_VALUE"""),"Turbinada")</f>
        <v>Turbinada</v>
      </c>
      <c r="D39" s="64" t="str">
        <f ca="1">IFERROR(__xludf.DUMMYFUNCTION("""COMPUTED_VALUE"""),"Refrea")</f>
        <v>Refrea</v>
      </c>
      <c r="E39" s="64" t="str">
        <f ca="1">IFERROR(__xludf.DUMMYFUNCTION("""COMPUTED_VALUE"""),"Remove todos os zumbis voadores.")</f>
        <v>Remove todos os zumbis voadores.</v>
      </c>
      <c r="F39" s="64">
        <f ca="1">IFERROR(__xludf.DUMMYFUNCTION("""COMPUTED_VALUE"""),50)</f>
        <v>50</v>
      </c>
      <c r="G39" s="64">
        <f ca="1">IFERROR(__xludf.DUMMYFUNCTION("""COMPUTED_VALUE"""),1)</f>
        <v>1</v>
      </c>
      <c r="H39" s="64">
        <f ca="1">IFERROR(__xludf.DUMMYFUNCTION("""COMPUTED_VALUE"""),0)</f>
        <v>0</v>
      </c>
      <c r="I39" s="64">
        <f ca="1">IFERROR(__xludf.DUMMYFUNCTION("""COMPUTED_VALUE"""),5)</f>
        <v>5</v>
      </c>
      <c r="J39" s="64" t="str">
        <f ca="1">IFERROR(__xludf.DUMMYFUNCTION("""COMPUTED_VALUE"""),"No Plant Food effect.")</f>
        <v>No Plant Food effect.</v>
      </c>
      <c r="K39" s="64"/>
      <c r="L39" s="64" t="str">
        <f ca="1">IFERROR(__xludf.DUMMYFUNCTION("""COMPUTED_VALUE"""),"Special - Blows away all flying zombies")</f>
        <v>Special - Blows away all flying zombies</v>
      </c>
      <c r="M39" s="64" t="b">
        <f ca="1">IFERROR(__xludf.DUMMYFUNCTION("""COMPUTED_VALUE"""),TRUE)</f>
        <v>1</v>
      </c>
      <c r="N39" s="64" t="b">
        <f ca="1">IFERROR(__xludf.DUMMYFUNCTION("""COMPUTED_VALUE"""),TRUE)</f>
        <v>1</v>
      </c>
      <c r="O39" s="64">
        <f ca="1">IFERROR(__xludf.DUMMYFUNCTION("""COMPUTED_VALUE"""),0)</f>
        <v>0</v>
      </c>
      <c r="P39" s="64" t="str">
        <f ca="1">IFERROR(__xludf.DUMMYFUNCTION("""COMPUTED_VALUE"""),"Rare")</f>
        <v>Rare</v>
      </c>
      <c r="Q39" s="64" t="str">
        <f ca="1">IFERROR(__xludf.DUMMYFUNCTION("""COMPUTED_VALUE"""),"control")</f>
        <v>control</v>
      </c>
      <c r="R39" s="64" t="str">
        <f ca="1">IFERROR(__xludf.DUMMYFUNCTION("""COMPUTED_VALUE"""),"Leaf")</f>
        <v>Leaf</v>
      </c>
      <c r="S39" s="64" t="str">
        <f ca="1">IFERROR(__xludf.DUMMYFUNCTION("""COMPUTED_VALUE"""),"Natural")</f>
        <v>Natural</v>
      </c>
      <c r="T39" s="64" t="str">
        <f ca="1">IFERROR(__xludf.DUMMYFUNCTION("""COMPUTED_VALUE"""),"None")</f>
        <v>None</v>
      </c>
      <c r="U39" s="64" t="str">
        <f ca="1">IFERROR(__xludf.DUMMYFUNCTION("""COMPUTED_VALUE"""),"None")</f>
        <v>None</v>
      </c>
      <c r="V39" s="64" t="str">
        <f ca="1">IFERROR(__xludf.DUMMYFUNCTION("""COMPUTED_VALUE"""),"blover")</f>
        <v>blover</v>
      </c>
      <c r="W39" s="64" t="str">
        <f ca="1">IFERROR(__xludf.DUMMYFUNCTION("""COMPUTED_VALUE"""),"Special")</f>
        <v>Special</v>
      </c>
      <c r="X39" s="64" t="str">
        <f ca="1">IFERROR(__xludf.DUMMYFUNCTION("""COMPUTED_VALUE"""),"PvZ, PvZ 2, PvZ 2 Chinease, PvZ Heroes, PvZ 3")</f>
        <v>PvZ, PvZ 2, PvZ 2 Chinease, PvZ Heroes, PvZ 3</v>
      </c>
      <c r="Y39" s="65" t="str">
        <f ca="1">IFERROR(__xludf.DUMMYFUNCTION("""COMPUTED_VALUE"""),"https://static.wikia.nocookie.net/plantsvszombies/images/b/b2/Blover2.png/revision/latest?cb=20141116200213")</f>
        <v>https://static.wikia.nocookie.net/plantsvszombies/images/b/b2/Blover2.png/revision/latest?cb=20141116200213</v>
      </c>
    </row>
    <row r="40" spans="1:25" x14ac:dyDescent="0.2">
      <c r="A40" s="64">
        <f ca="1">IFERROR(__xludf.DUMMYFUNCTION("""COMPUTED_VALUE"""),39)</f>
        <v>39</v>
      </c>
      <c r="B40" s="64" t="str">
        <f ca="1">IFERROR(__xludf.DUMMYFUNCTION("""COMPUTED_VALUE"""),"Citron")</f>
        <v>Citron</v>
      </c>
      <c r="C40" s="64" t="str">
        <f ca="1">IFERROR(__xludf.DUMMYFUNCTION("""COMPUTED_VALUE"""),"Cidra")</f>
        <v>Cidra</v>
      </c>
      <c r="D40" s="64" t="str">
        <f ca="1">IFERROR(__xludf.DUMMYFUNCTION("""COMPUTED_VALUE"""),"Fila")</f>
        <v>Fila</v>
      </c>
      <c r="E40" s="64" t="str">
        <f ca="1">IFERROR(__xludf.DUMMYFUNCTION("""COMPUTED_VALUE"""),"Dispara uma poderosa esfera de plasma com baixa frequência.")</f>
        <v>Dispara uma poderosa esfera de plasma com baixa frequência.</v>
      </c>
      <c r="F40" s="64">
        <f ca="1">IFERROR(__xludf.DUMMYFUNCTION("""COMPUTED_VALUE"""),350)</f>
        <v>350</v>
      </c>
      <c r="G40" s="64">
        <f ca="1">IFERROR(__xludf.DUMMYFUNCTION("""COMPUTED_VALUE"""),300)</f>
        <v>300</v>
      </c>
      <c r="H40" s="64">
        <f ca="1">IFERROR(__xludf.DUMMYFUNCTION("""COMPUTED_VALUE"""),800)</f>
        <v>800</v>
      </c>
      <c r="I40" s="64">
        <f ca="1">IFERROR(__xludf.DUMMYFUNCTION("""COMPUTED_VALUE"""),5)</f>
        <v>5</v>
      </c>
      <c r="J40" s="64" t="str">
        <f ca="1">IFERROR(__xludf.DUMMYFUNCTION("""COMPUTED_VALUE"""),"Shoots a giant plasma ball that can destroy most mech type zombies and flings zombies to adjacent columns.")</f>
        <v>Shoots a giant plasma ball that can destroy most mech type zombies and flings zombies to adjacent columns.</v>
      </c>
      <c r="K40" s="64"/>
      <c r="L40" s="64"/>
      <c r="M40" s="64" t="b">
        <f ca="1">IFERROR(__xludf.DUMMYFUNCTION("""COMPUTED_VALUE"""),FALSE)</f>
        <v>0</v>
      </c>
      <c r="N40" s="64" t="b">
        <f ca="1">IFERROR(__xludf.DUMMYFUNCTION("""COMPUTED_VALUE"""),FALSE)</f>
        <v>0</v>
      </c>
      <c r="O40" s="64">
        <f ca="1">IFERROR(__xludf.DUMMYFUNCTION("""COMPUTED_VALUE"""),0)</f>
        <v>0</v>
      </c>
      <c r="P40" s="64" t="str">
        <f ca="1">IFERROR(__xludf.DUMMYFUNCTION("""COMPUTED_VALUE"""),"Uncommon")</f>
        <v>Uncommon</v>
      </c>
      <c r="Q40" s="64" t="str">
        <f ca="1">IFERROR(__xludf.DUMMYFUNCTION("""COMPUTED_VALUE"""),"area-effect")</f>
        <v>area-effect</v>
      </c>
      <c r="R40" s="64" t="str">
        <f ca="1">IFERROR(__xludf.DUMMYFUNCTION("""COMPUTED_VALUE"""),"Fruit")</f>
        <v>Fruit</v>
      </c>
      <c r="S40" s="64" t="str">
        <f ca="1">IFERROR(__xludf.DUMMYFUNCTION("""COMPUTED_VALUE"""),"Natural")</f>
        <v>Natural</v>
      </c>
      <c r="T40" s="64" t="str">
        <f ca="1">IFERROR(__xludf.DUMMYFUNCTION("""COMPUTED_VALUE"""),"None")</f>
        <v>None</v>
      </c>
      <c r="U40" s="64" t="str">
        <f ca="1">IFERROR(__xludf.DUMMYFUNCTION("""COMPUTED_VALUE"""),"None")</f>
        <v>None</v>
      </c>
      <c r="V40" s="64" t="str">
        <f ca="1">IFERROR(__xludf.DUMMYFUNCTION("""COMPUTED_VALUE"""),"citron")</f>
        <v>citron</v>
      </c>
      <c r="W40" s="64" t="str">
        <f ca="1">IFERROR(__xludf.DUMMYFUNCTION("""COMPUTED_VALUE"""),"Ranged")</f>
        <v>Ranged</v>
      </c>
      <c r="X40" s="64" t="str">
        <f ca="1">IFERROR(__xludf.DUMMYFUNCTION("""COMPUTED_VALUE"""),"PvZ 2, PvZ 2 Chinease, PvZ Heroes, PvZ GW 2, PvZ BfN")</f>
        <v>PvZ 2, PvZ 2 Chinease, PvZ Heroes, PvZ GW 2, PvZ BfN</v>
      </c>
      <c r="Y40" s="65" t="str">
        <f ca="1">IFERROR(__xludf.DUMMYFUNCTION("""COMPUTED_VALUE"""),"https://static.wikia.nocookie.net/plantsvszombies/images/7/74/Citron2.png/revision/latest?cb=20181230184815")</f>
        <v>https://static.wikia.nocookie.net/plantsvszombies/images/7/74/Citron2.png/revision/latest?cb=20181230184815</v>
      </c>
    </row>
    <row r="41" spans="1:25" x14ac:dyDescent="0.2">
      <c r="A41" s="64">
        <f ca="1">IFERROR(__xludf.DUMMYFUNCTION("""COMPUTED_VALUE"""),40)</f>
        <v>40</v>
      </c>
      <c r="B41" s="64" t="str">
        <f ca="1">IFERROR(__xludf.DUMMYFUNCTION("""COMPUTED_VALUE"""),"E.M.Peach")</f>
        <v>E.M.Peach</v>
      </c>
      <c r="C41" s="64" t="str">
        <f ca="1">IFERROR(__xludf.DUMMYFUNCTION("""COMPUTED_VALUE"""),"Pêss.E.M.")</f>
        <v>Pêss.E.M.</v>
      </c>
      <c r="D41" s="64" t="str">
        <f ca="1">IFERROR(__xludf.DUMMYFUNCTION("""COMPUTED_VALUE"""),"Fila")</f>
        <v>Fila</v>
      </c>
      <c r="E41" s="64" t="str">
        <f ca="1">IFERROR(__xludf.DUMMYFUNCTION("""COMPUTED_VALUE"""),"Faz com que zumbis máquina entrem em curto por um período de tempo.")</f>
        <v>Faz com que zumbis máquina entrem em curto por um período de tempo.</v>
      </c>
      <c r="F41" s="64">
        <f ca="1">IFERROR(__xludf.DUMMYFUNCTION("""COMPUTED_VALUE"""),25)</f>
        <v>25</v>
      </c>
      <c r="G41" s="64">
        <f ca="1">IFERROR(__xludf.DUMMYFUNCTION("""COMPUTED_VALUE"""),1)</f>
        <v>1</v>
      </c>
      <c r="H41" s="64">
        <f ca="1">IFERROR(__xludf.DUMMYFUNCTION("""COMPUTED_VALUE"""),0)</f>
        <v>0</v>
      </c>
      <c r="I41" s="64">
        <f ca="1">IFERROR(__xludf.DUMMYFUNCTION("""COMPUTED_VALUE"""),25)</f>
        <v>25</v>
      </c>
      <c r="J41" s="64" t="str">
        <f ca="1">IFERROR(__xludf.DUMMYFUNCTION("""COMPUTED_VALUE"""),"No Plant Food effect.")</f>
        <v>No Plant Food effect.</v>
      </c>
      <c r="K41" s="64"/>
      <c r="L41" s="64" t="str">
        <f ca="1">IFERROR(__xludf.DUMMYFUNCTION("""COMPUTED_VALUE"""),"Special - Disables machines")</f>
        <v>Special - Disables machines</v>
      </c>
      <c r="M41" s="64" t="b">
        <f ca="1">IFERROR(__xludf.DUMMYFUNCTION("""COMPUTED_VALUE"""),TRUE)</f>
        <v>1</v>
      </c>
      <c r="N41" s="64" t="b">
        <f ca="1">IFERROR(__xludf.DUMMYFUNCTION("""COMPUTED_VALUE"""),TRUE)</f>
        <v>1</v>
      </c>
      <c r="O41" s="64">
        <f ca="1">IFERROR(__xludf.DUMMYFUNCTION("""COMPUTED_VALUE"""),0)</f>
        <v>0</v>
      </c>
      <c r="P41" s="64" t="str">
        <f ca="1">IFERROR(__xludf.DUMMYFUNCTION("""COMPUTED_VALUE"""),"Common")</f>
        <v>Common</v>
      </c>
      <c r="Q41" s="64" t="str">
        <f ca="1">IFERROR(__xludf.DUMMYFUNCTION("""COMPUTED_VALUE"""),"control, area-effect")</f>
        <v>control, area-effect</v>
      </c>
      <c r="R41" s="64" t="str">
        <f ca="1">IFERROR(__xludf.DUMMYFUNCTION("""COMPUTED_VALUE"""),"Fruit")</f>
        <v>Fruit</v>
      </c>
      <c r="S41" s="64" t="str">
        <f ca="1">IFERROR(__xludf.DUMMYFUNCTION("""COMPUTED_VALUE"""),"Natural")</f>
        <v>Natural</v>
      </c>
      <c r="T41" s="64" t="str">
        <f ca="1">IFERROR(__xludf.DUMMYFUNCTION("""COMPUTED_VALUE"""),"None")</f>
        <v>None</v>
      </c>
      <c r="U41" s="64" t="str">
        <f ca="1">IFERROR(__xludf.DUMMYFUNCTION("""COMPUTED_VALUE"""),"None")</f>
        <v>None</v>
      </c>
      <c r="V41" s="64" t="str">
        <f ca="1">IFERROR(__xludf.DUMMYFUNCTION("""COMPUTED_VALUE"""),"empea")</f>
        <v>empea</v>
      </c>
      <c r="W41" s="64" t="str">
        <f ca="1">IFERROR(__xludf.DUMMYFUNCTION("""COMPUTED_VALUE"""),"Special")</f>
        <v>Special</v>
      </c>
      <c r="X41" s="64" t="str">
        <f ca="1">IFERROR(__xludf.DUMMYFUNCTION("""COMPUTED_VALUE"""),"PvZ 2, PvZ 2 Chinease, PvZ GW 2, PvZ BfN")</f>
        <v>PvZ 2, PvZ 2 Chinease, PvZ GW 2, PvZ BfN</v>
      </c>
      <c r="Y41" s="65" t="str">
        <f ca="1">IFERROR(__xludf.DUMMYFUNCTION("""COMPUTED_VALUE"""),"https://static.wikia.nocookie.net/plantsvszombies/images/5/5d/E.M.Peach2.png/revision/latest?cb=20150519210717")</f>
        <v>https://static.wikia.nocookie.net/plantsvszombies/images/5/5d/E.M.Peach2.png/revision/latest?cb=20150519210717</v>
      </c>
    </row>
    <row r="42" spans="1:25" x14ac:dyDescent="0.2">
      <c r="A42" s="64">
        <f ca="1">IFERROR(__xludf.DUMMYFUNCTION("""COMPUTED_VALUE"""),41)</f>
        <v>41</v>
      </c>
      <c r="B42" s="64" t="str">
        <f ca="1">IFERROR(__xludf.DUMMYFUNCTION("""COMPUTED_VALUE"""),"Infi-nut")</f>
        <v>Infi-nut</v>
      </c>
      <c r="C42" s="64" t="str">
        <f ca="1">IFERROR(__xludf.DUMMYFUNCTION("""COMPUTED_VALUE"""),"Infinoz")</f>
        <v>Infinoz</v>
      </c>
      <c r="D42" s="64" t="str">
        <f ca="1">IFERROR(__xludf.DUMMYFUNCTION("""COMPUTED_VALUE"""),"Endurecida")</f>
        <v>Endurecida</v>
      </c>
      <c r="E42" s="64" t="str">
        <f ca="1">IFERROR(__xludf.DUMMYFUNCTION("""COMPUTED_VALUE"""),"Fornece uma proteção básica para as plantas, além disso é capaz de regenerar a sua própria vida.")</f>
        <v>Fornece uma proteção básica para as plantas, além disso é capaz de regenerar a sua própria vida.</v>
      </c>
      <c r="F42" s="64">
        <f ca="1">IFERROR(__xludf.DUMMYFUNCTION("""COMPUTED_VALUE"""),75)</f>
        <v>75</v>
      </c>
      <c r="G42" s="64">
        <f ca="1">IFERROR(__xludf.DUMMYFUNCTION("""COMPUTED_VALUE"""),2000)</f>
        <v>2000</v>
      </c>
      <c r="H42" s="64">
        <f ca="1">IFERROR(__xludf.DUMMYFUNCTION("""COMPUTED_VALUE"""),0)</f>
        <v>0</v>
      </c>
      <c r="I42" s="64">
        <f ca="1">IFERROR(__xludf.DUMMYFUNCTION("""COMPUTED_VALUE"""),15)</f>
        <v>15</v>
      </c>
      <c r="J42" s="64" t="str">
        <f ca="1">IFERROR(__xludf.DUMMYFUNCTION("""COMPUTED_VALUE"""),"Fully heals itself and creates a shield to protect the column from incoming attacks.")</f>
        <v>Fully heals itself and creates a shield to protect the column from incoming attacks.</v>
      </c>
      <c r="K42" s="64"/>
      <c r="L42" s="64" t="str">
        <f ca="1">IFERROR(__xludf.DUMMYFUNCTION("""COMPUTED_VALUE"""),"Special - Regenerates health over time")</f>
        <v>Special - Regenerates health over time</v>
      </c>
      <c r="M42" s="64" t="b">
        <f ca="1">IFERROR(__xludf.DUMMYFUNCTION("""COMPUTED_VALUE"""),FALSE)</f>
        <v>0</v>
      </c>
      <c r="N42" s="64" t="b">
        <f ca="1">IFERROR(__xludf.DUMMYFUNCTION("""COMPUTED_VALUE"""),FALSE)</f>
        <v>0</v>
      </c>
      <c r="O42" s="64">
        <f ca="1">IFERROR(__xludf.DUMMYFUNCTION("""COMPUTED_VALUE"""),0)</f>
        <v>0</v>
      </c>
      <c r="P42" s="64" t="str">
        <f ca="1">IFERROR(__xludf.DUMMYFUNCTION("""COMPUTED_VALUE"""),"Uncommon")</f>
        <v>Uncommon</v>
      </c>
      <c r="Q42" s="64" t="str">
        <f ca="1">IFERROR(__xludf.DUMMYFUNCTION("""COMPUTED_VALUE"""),"heals")</f>
        <v>heals</v>
      </c>
      <c r="R42" s="64" t="str">
        <f ca="1">IFERROR(__xludf.DUMMYFUNCTION("""COMPUTED_VALUE"""),"Nut")</f>
        <v>Nut</v>
      </c>
      <c r="S42" s="64" t="str">
        <f ca="1">IFERROR(__xludf.DUMMYFUNCTION("""COMPUTED_VALUE"""),"Natural")</f>
        <v>Natural</v>
      </c>
      <c r="T42" s="64" t="str">
        <f ca="1">IFERROR(__xludf.DUMMYFUNCTION("""COMPUTED_VALUE"""),"None")</f>
        <v>None</v>
      </c>
      <c r="U42" s="64" t="str">
        <f ca="1">IFERROR(__xludf.DUMMYFUNCTION("""COMPUTED_VALUE"""),"None")</f>
        <v>None</v>
      </c>
      <c r="V42" s="64" t="str">
        <f ca="1">IFERROR(__xludf.DUMMYFUNCTION("""COMPUTED_VALUE"""),"holonut")</f>
        <v>holonut</v>
      </c>
      <c r="W42" s="64" t="str">
        <f ca="1">IFERROR(__xludf.DUMMYFUNCTION("""COMPUTED_VALUE"""),"Tough")</f>
        <v>Tough</v>
      </c>
      <c r="X42" s="64" t="str">
        <f ca="1">IFERROR(__xludf.DUMMYFUNCTION("""COMPUTED_VALUE"""),"PvZ 2, PvZ 2 Chinease")</f>
        <v>PvZ 2, PvZ 2 Chinease</v>
      </c>
      <c r="Y42" s="65" t="str">
        <f ca="1">IFERROR(__xludf.DUMMYFUNCTION("""COMPUTED_VALUE"""),"https://static.wikia.nocookie.net/plantsvszombies/images/2/27/Infi-nut2.png/revision/latest?cb=20141117200749")</f>
        <v>https://static.wikia.nocookie.net/plantsvszombies/images/2/27/Infi-nut2.png/revision/latest?cb=20141117200749</v>
      </c>
    </row>
    <row r="43" spans="1:25" x14ac:dyDescent="0.2">
      <c r="A43" s="64">
        <f ca="1">IFERROR(__xludf.DUMMYFUNCTION("""COMPUTED_VALUE"""),42)</f>
        <v>42</v>
      </c>
      <c r="B43" s="64" t="str">
        <f ca="1">IFERROR(__xludf.DUMMYFUNCTION("""COMPUTED_VALUE"""),"Magnifying
Grass")</f>
        <v>Magnifying
Grass</v>
      </c>
      <c r="C43" s="64" t="str">
        <f ca="1">IFERROR(__xludf.DUMMYFUNCTION("""COMPUTED_VALUE"""),"Lente de Grama")</f>
        <v>Lente de Grama</v>
      </c>
      <c r="D43" s="64" t="str">
        <f ca="1">IFERROR(__xludf.DUMMYFUNCTION("""COMPUTED_VALUE"""),"Fila")</f>
        <v>Fila</v>
      </c>
      <c r="E43" s="64" t="str">
        <f ca="1">IFERROR(__xludf.DUMMYFUNCTION("""COMPUTED_VALUE"""),"Converte sol em energia para um disparo poderoso.")</f>
        <v>Converte sol em energia para um disparo poderoso.</v>
      </c>
      <c r="F43" s="64">
        <f ca="1">IFERROR(__xludf.DUMMYFUNCTION("""COMPUTED_VALUE"""),50)</f>
        <v>50</v>
      </c>
      <c r="G43" s="64">
        <f ca="1">IFERROR(__xludf.DUMMYFUNCTION("""COMPUTED_VALUE"""),300)</f>
        <v>300</v>
      </c>
      <c r="H43" s="64">
        <f ca="1">IFERROR(__xludf.DUMMYFUNCTION("""COMPUTED_VALUE"""),550)</f>
        <v>550</v>
      </c>
      <c r="I43" s="64">
        <f ca="1">IFERROR(__xludf.DUMMYFUNCTION("""COMPUTED_VALUE"""),5)</f>
        <v>5</v>
      </c>
      <c r="J43" s="64" t="str">
        <f ca="1">IFERROR(__xludf.DUMMYFUNCTION("""COMPUTED_VALUE"""),"Shoots an energy beam that deals damage to zombies in its row. The beam duration increases based on the number of sun-producing plants on the lawn.")</f>
        <v>Shoots an energy beam that deals damage to zombies in its row. The beam duration increases based on the number of sun-producing plants on the lawn.</v>
      </c>
      <c r="K43" s="64"/>
      <c r="L43" s="64" t="str">
        <f ca="1">IFERROR(__xludf.DUMMYFUNCTION("""COMPUTED_VALUE"""),"Special - Tap to spend sun for an attack")</f>
        <v>Special - Tap to spend sun for an attack</v>
      </c>
      <c r="M43" s="64" t="b">
        <f ca="1">IFERROR(__xludf.DUMMYFUNCTION("""COMPUTED_VALUE"""),FALSE)</f>
        <v>0</v>
      </c>
      <c r="N43" s="64" t="b">
        <f ca="1">IFERROR(__xludf.DUMMYFUNCTION("""COMPUTED_VALUE"""),FALSE)</f>
        <v>0</v>
      </c>
      <c r="O43" s="64">
        <f ca="1">IFERROR(__xludf.DUMMYFUNCTION("""COMPUTED_VALUE"""),0)</f>
        <v>0</v>
      </c>
      <c r="P43" s="64" t="str">
        <f ca="1">IFERROR(__xludf.DUMMYFUNCTION("""COMPUTED_VALUE"""),"Common")</f>
        <v>Common</v>
      </c>
      <c r="Q43" s="64"/>
      <c r="R43" s="64" t="str">
        <f ca="1">IFERROR(__xludf.DUMMYFUNCTION("""COMPUTED_VALUE"""),"Leaf")</f>
        <v>Leaf</v>
      </c>
      <c r="S43" s="64" t="str">
        <f ca="1">IFERROR(__xludf.DUMMYFUNCTION("""COMPUTED_VALUE"""),"Natural")</f>
        <v>Natural</v>
      </c>
      <c r="T43" s="64" t="str">
        <f ca="1">IFERROR(__xludf.DUMMYFUNCTION("""COMPUTED_VALUE"""),"None")</f>
        <v>None</v>
      </c>
      <c r="U43" s="64" t="str">
        <f ca="1">IFERROR(__xludf.DUMMYFUNCTION("""COMPUTED_VALUE"""),"None")</f>
        <v>None</v>
      </c>
      <c r="V43" s="64" t="str">
        <f ca="1">IFERROR(__xludf.DUMMYFUNCTION("""COMPUTED_VALUE"""),"magnifyinggrass")</f>
        <v>magnifyinggrass</v>
      </c>
      <c r="W43" s="64" t="str">
        <f ca="1">IFERROR(__xludf.DUMMYFUNCTION("""COMPUTED_VALUE"""),"Ranged")</f>
        <v>Ranged</v>
      </c>
      <c r="X43" s="64" t="str">
        <f ca="1">IFERROR(__xludf.DUMMYFUNCTION("""COMPUTED_VALUE"""),"PvZ 2, PvZ 2 Chinease, PvZ Heroes")</f>
        <v>PvZ 2, PvZ 2 Chinease, PvZ Heroes</v>
      </c>
      <c r="Y43" s="65" t="str">
        <f ca="1">IFERROR(__xludf.DUMMYFUNCTION("""COMPUTED_VALUE"""),"https://static.wikia.nocookie.net/plantsvszombies/images/2/27/Magnifying_Grass2.png/revision/latest?cb=20181230190842")</f>
        <v>https://static.wikia.nocookie.net/plantsvszombies/images/2/27/Magnifying_Grass2.png/revision/latest?cb=20181230190842</v>
      </c>
    </row>
    <row r="44" spans="1:25" x14ac:dyDescent="0.2">
      <c r="A44" s="64">
        <f ca="1">IFERROR(__xludf.DUMMYFUNCTION("""COMPUTED_VALUE"""),43)</f>
        <v>43</v>
      </c>
      <c r="B44" s="64" t="str">
        <f ca="1">IFERROR(__xludf.DUMMYFUNCTION("""COMPUTED_VALUE"""),"Tile Turnip")</f>
        <v>Tile Turnip</v>
      </c>
      <c r="C44" s="64" t="str">
        <f ca="1">IFERROR(__xludf.DUMMYFUNCTION("""COMPUTED_VALUE"""),"Quadranabo")</f>
        <v>Quadranabo</v>
      </c>
      <c r="D44" s="64" t="str">
        <f ca="1">IFERROR(__xludf.DUMMYFUNCTION("""COMPUTED_VALUE"""),"Encanta")</f>
        <v>Encanta</v>
      </c>
      <c r="E44" s="64" t="str">
        <f ca="1">IFERROR(__xludf.DUMMYFUNCTION("""COMPUTED_VALUE"""),"Gera um quadrado do poder.")</f>
        <v>Gera um quadrado do poder.</v>
      </c>
      <c r="F44" s="64">
        <f ca="1">IFERROR(__xludf.DUMMYFUNCTION("""COMPUTED_VALUE"""),250)</f>
        <v>250</v>
      </c>
      <c r="G44" s="64">
        <f ca="1">IFERROR(__xludf.DUMMYFUNCTION("""COMPUTED_VALUE"""),1)</f>
        <v>1</v>
      </c>
      <c r="H44" s="64">
        <f ca="1">IFERROR(__xludf.DUMMYFUNCTION("""COMPUTED_VALUE"""),0)</f>
        <v>0</v>
      </c>
      <c r="I44" s="64">
        <f ca="1">IFERROR(__xludf.DUMMYFUNCTION("""COMPUTED_VALUE"""),10)</f>
        <v>10</v>
      </c>
      <c r="J44" s="64" t="str">
        <f ca="1">IFERROR(__xludf.DUMMYFUNCTION("""COMPUTED_VALUE"""),"No Plant Food effect.")</f>
        <v>No Plant Food effect.</v>
      </c>
      <c r="K44" s="64" t="str">
        <f ca="1">IFERROR(__xludf.DUMMYFUNCTION("""COMPUTED_VALUE"""),"Sun cost multiplies 2 for every planted Tile Turnip")</f>
        <v>Sun cost multiplies 2 for every planted Tile Turnip</v>
      </c>
      <c r="L44" s="64"/>
      <c r="M44" s="64" t="b">
        <f ca="1">IFERROR(__xludf.DUMMYFUNCTION("""COMPUTED_VALUE"""),TRUE)</f>
        <v>1</v>
      </c>
      <c r="N44" s="64" t="b">
        <f ca="1">IFERROR(__xludf.DUMMYFUNCTION("""COMPUTED_VALUE"""),TRUE)</f>
        <v>1</v>
      </c>
      <c r="O44" s="64">
        <f ca="1">IFERROR(__xludf.DUMMYFUNCTION("""COMPUTED_VALUE"""),0)</f>
        <v>0</v>
      </c>
      <c r="P44" s="64" t="str">
        <f ca="1">IFERROR(__xludf.DUMMYFUNCTION("""COMPUTED_VALUE"""),"Rare")</f>
        <v>Rare</v>
      </c>
      <c r="Q44" s="64" t="str">
        <f ca="1">IFERROR(__xludf.DUMMYFUNCTION("""COMPUTED_VALUE"""),"grounded")</f>
        <v>grounded</v>
      </c>
      <c r="R44" s="64" t="str">
        <f ca="1">IFERROR(__xludf.DUMMYFUNCTION("""COMPUTED_VALUE"""),"Root")</f>
        <v>Root</v>
      </c>
      <c r="S44" s="64" t="str">
        <f ca="1">IFERROR(__xludf.DUMMYFUNCTION("""COMPUTED_VALUE"""),"Natural")</f>
        <v>Natural</v>
      </c>
      <c r="T44" s="64" t="str">
        <f ca="1">IFERROR(__xludf.DUMMYFUNCTION("""COMPUTED_VALUE"""),"None")</f>
        <v>None</v>
      </c>
      <c r="U44" s="64" t="str">
        <f ca="1">IFERROR(__xludf.DUMMYFUNCTION("""COMPUTED_VALUE"""),"None")</f>
        <v>None</v>
      </c>
      <c r="V44" s="64" t="str">
        <f ca="1">IFERROR(__xludf.DUMMYFUNCTION("""COMPUTED_VALUE"""),"powerplant")</f>
        <v>powerplant</v>
      </c>
      <c r="W44" s="64" t="str">
        <f ca="1">IFERROR(__xludf.DUMMYFUNCTION("""COMPUTED_VALUE"""),"Support")</f>
        <v>Support</v>
      </c>
      <c r="X44" s="64" t="str">
        <f ca="1">IFERROR(__xludf.DUMMYFUNCTION("""COMPUTED_VALUE"""),"PvZ 2, PvZ 2 Chinease")</f>
        <v>PvZ 2, PvZ 2 Chinease</v>
      </c>
      <c r="Y44" s="65" t="str">
        <f ca="1">IFERROR(__xludf.DUMMYFUNCTION("""COMPUTED_VALUE"""),"https://static.wikia.nocookie.net/plantsvszombies/images/f/fa/Tile_Turnip2.png/revision/latest?cb=20181230192657")</f>
        <v>https://static.wikia.nocookie.net/plantsvszombies/images/f/fa/Tile_Turnip2.png/revision/latest?cb=20181230192657</v>
      </c>
    </row>
    <row r="45" spans="1:25" x14ac:dyDescent="0.2">
      <c r="A45" s="64">
        <f ca="1">IFERROR(__xludf.DUMMYFUNCTION("""COMPUTED_VALUE"""),44)</f>
        <v>44</v>
      </c>
      <c r="B45" s="64" t="str">
        <f ca="1">IFERROR(__xludf.DUMMYFUNCTION("""COMPUTED_VALUE"""),"Sun-shroom")</f>
        <v>Sun-shroom</v>
      </c>
      <c r="C45" s="64" t="str">
        <f ca="1">IFERROR(__xludf.DUMMYFUNCTION("""COMPUTED_VALUE"""),"Solargumelo")</f>
        <v>Solargumelo</v>
      </c>
      <c r="D45" s="64" t="str">
        <f ca="1">IFERROR(__xludf.DUMMYFUNCTION("""COMPUTED_VALUE"""),"Esclarecida")</f>
        <v>Esclarecida</v>
      </c>
      <c r="E45" s="64" t="str">
        <f ca="1">IFERROR(__xludf.DUMMYFUNCTION("""COMPUTED_VALUE"""),"Produz sóis adicionais a medida que vai crescendo.")</f>
        <v>Produz sóis adicionais a medida que vai crescendo.</v>
      </c>
      <c r="F45" s="64">
        <f ca="1">IFERROR(__xludf.DUMMYFUNCTION("""COMPUTED_VALUE"""),25)</f>
        <v>25</v>
      </c>
      <c r="G45" s="64">
        <f ca="1">IFERROR(__xludf.DUMMYFUNCTION("""COMPUTED_VALUE"""),300)</f>
        <v>300</v>
      </c>
      <c r="H45" s="64">
        <f ca="1">IFERROR(__xludf.DUMMYFUNCTION("""COMPUTED_VALUE"""),0)</f>
        <v>0</v>
      </c>
      <c r="I45" s="64">
        <f ca="1">IFERROR(__xludf.DUMMYFUNCTION("""COMPUTED_VALUE"""),5)</f>
        <v>5</v>
      </c>
      <c r="J45" s="64" t="str">
        <f ca="1">IFERROR(__xludf.DUMMYFUNCTION("""COMPUTED_VALUE"""),"Instantly grows to full size and produces a large amount of sun.")</f>
        <v>Instantly grows to full size and produces a large amount of sun.</v>
      </c>
      <c r="K45" s="64"/>
      <c r="L45" s="64"/>
      <c r="M45" s="64" t="b">
        <f ca="1">IFERROR(__xludf.DUMMYFUNCTION("""COMPUTED_VALUE"""),FALSE)</f>
        <v>0</v>
      </c>
      <c r="N45" s="64" t="b">
        <f ca="1">IFERROR(__xludf.DUMMYFUNCTION("""COMPUTED_VALUE"""),FALSE)</f>
        <v>0</v>
      </c>
      <c r="O45" s="64">
        <f ca="1">IFERROR(__xludf.DUMMYFUNCTION("""COMPUTED_VALUE"""),75)</f>
        <v>75</v>
      </c>
      <c r="P45" s="64" t="str">
        <f ca="1">IFERROR(__xludf.DUMMYFUNCTION("""COMPUTED_VALUE"""),"Common")</f>
        <v>Common</v>
      </c>
      <c r="Q45" s="64"/>
      <c r="R45" s="64" t="str">
        <f ca="1">IFERROR(__xludf.DUMMYFUNCTION("""COMPUTED_VALUE"""),"Murshroom")</f>
        <v>Murshroom</v>
      </c>
      <c r="S45" s="64" t="str">
        <f ca="1">IFERROR(__xludf.DUMMYFUNCTION("""COMPUTED_VALUE"""),"Natural")</f>
        <v>Natural</v>
      </c>
      <c r="T45" s="64" t="str">
        <f ca="1">IFERROR(__xludf.DUMMYFUNCTION("""COMPUTED_VALUE"""),"None")</f>
        <v>None</v>
      </c>
      <c r="U45" s="64" t="str">
        <f ca="1">IFERROR(__xludf.DUMMYFUNCTION("""COMPUTED_VALUE"""),"None")</f>
        <v>None</v>
      </c>
      <c r="V45" s="64" t="str">
        <f ca="1">IFERROR(__xludf.DUMMYFUNCTION("""COMPUTED_VALUE"""),"sunshroom")</f>
        <v>sunshroom</v>
      </c>
      <c r="W45" s="64" t="str">
        <f ca="1">IFERROR(__xludf.DUMMYFUNCTION("""COMPUTED_VALUE"""),"Sun")</f>
        <v>Sun</v>
      </c>
      <c r="X45" s="64" t="str">
        <f ca="1">IFERROR(__xludf.DUMMYFUNCTION("""COMPUTED_VALUE"""),"PvZ, PvZ 2, PvZ 2 Chinease, PvZ Heroes, PvZ 3")</f>
        <v>PvZ, PvZ 2, PvZ 2 Chinease, PvZ Heroes, PvZ 3</v>
      </c>
      <c r="Y45" s="65" t="str">
        <f ca="1">IFERROR(__xludf.DUMMYFUNCTION("""COMPUTED_VALUE"""),"https://static.wikia.nocookie.net/plantsvszombies/images/e/e0/Sun-shroom2.png/revision/latest?cb=20190221195748")</f>
        <v>https://static.wikia.nocookie.net/plantsvszombies/images/e/e0/Sun-shroom2.png/revision/latest?cb=20190221195748</v>
      </c>
    </row>
    <row r="46" spans="1:25" x14ac:dyDescent="0.2">
      <c r="A46" s="64">
        <f ca="1">IFERROR(__xludf.DUMMYFUNCTION("""COMPUTED_VALUE"""),45)</f>
        <v>45</v>
      </c>
      <c r="B46" s="64" t="str">
        <f ca="1">IFERROR(__xludf.DUMMYFUNCTION("""COMPUTED_VALUE"""),"Puff-shroom")</f>
        <v>Puff-shroom</v>
      </c>
      <c r="C46" s="64" t="str">
        <f ca="1">IFERROR(__xludf.DUMMYFUNCTION("""COMPUTED_VALUE"""),"Soprogumelo")</f>
        <v>Soprogumelo</v>
      </c>
      <c r="D46" s="64" t="str">
        <f ca="1">IFERROR(__xludf.DUMMYFUNCTION("""COMPUTED_VALUE"""),"Envenenada")</f>
        <v>Envenenada</v>
      </c>
      <c r="E46" s="64" t="str">
        <f ca="1">IFERROR(__xludf.DUMMYFUNCTION("""COMPUTED_VALUE"""),"Dispara esporos contra zumbis por um período limitado de tempo.")</f>
        <v>Dispara esporos contra zumbis por um período limitado de tempo.</v>
      </c>
      <c r="F46" s="64">
        <f ca="1">IFERROR(__xludf.DUMMYFUNCTION("""COMPUTED_VALUE"""),0)</f>
        <v>0</v>
      </c>
      <c r="G46" s="64">
        <f ca="1">IFERROR(__xludf.DUMMYFUNCTION("""COMPUTED_VALUE"""),150)</f>
        <v>150</v>
      </c>
      <c r="H46" s="64">
        <f ca="1">IFERROR(__xludf.DUMMYFUNCTION("""COMPUTED_VALUE"""),20)</f>
        <v>20</v>
      </c>
      <c r="I46" s="64">
        <f ca="1">IFERROR(__xludf.DUMMYFUNCTION("""COMPUTED_VALUE"""),5)</f>
        <v>5</v>
      </c>
      <c r="J46" s="64" t="str">
        <f ca="1">IFERROR(__xludf.DUMMYFUNCTION("""COMPUTED_VALUE"""),"All Puff-shroom on the lawn will shoot a spore barrage and resets their life duration.")</f>
        <v>All Puff-shroom on the lawn will shoot a spore barrage and resets their life duration.</v>
      </c>
      <c r="K46" s="64"/>
      <c r="L46" s="64" t="str">
        <f ca="1">IFERROR(__xludf.DUMMYFUNCTION("""COMPUTED_VALUE"""),"Special - Lives for a limited time")</f>
        <v>Special - Lives for a limited time</v>
      </c>
      <c r="M46" s="64" t="b">
        <f ca="1">IFERROR(__xludf.DUMMYFUNCTION("""COMPUTED_VALUE"""),FALSE)</f>
        <v>0</v>
      </c>
      <c r="N46" s="64" t="b">
        <f ca="1">IFERROR(__xludf.DUMMYFUNCTION("""COMPUTED_VALUE"""),FALSE)</f>
        <v>0</v>
      </c>
      <c r="O46" s="64">
        <f ca="1">IFERROR(__xludf.DUMMYFUNCTION("""COMPUTED_VALUE"""),0)</f>
        <v>0</v>
      </c>
      <c r="P46" s="64" t="str">
        <f ca="1">IFERROR(__xludf.DUMMYFUNCTION("""COMPUTED_VALUE"""),"Common")</f>
        <v>Common</v>
      </c>
      <c r="Q46" s="64" t="str">
        <f ca="1">IFERROR(__xludf.DUMMYFUNCTION("""COMPUTED_VALUE"""),"fade")</f>
        <v>fade</v>
      </c>
      <c r="R46" s="64" t="str">
        <f ca="1">IFERROR(__xludf.DUMMYFUNCTION("""COMPUTED_VALUE"""),"Murshroom")</f>
        <v>Murshroom</v>
      </c>
      <c r="S46" s="64" t="str">
        <f ca="1">IFERROR(__xludf.DUMMYFUNCTION("""COMPUTED_VALUE"""),"Natural")</f>
        <v>Natural</v>
      </c>
      <c r="T46" s="64" t="str">
        <f ca="1">IFERROR(__xludf.DUMMYFUNCTION("""COMPUTED_VALUE"""),"None")</f>
        <v>None</v>
      </c>
      <c r="U46" s="64" t="str">
        <f ca="1">IFERROR(__xludf.DUMMYFUNCTION("""COMPUTED_VALUE"""),"None")</f>
        <v>None</v>
      </c>
      <c r="V46" s="64" t="str">
        <f ca="1">IFERROR(__xludf.DUMMYFUNCTION("""COMPUTED_VALUE"""),"puffshroom")</f>
        <v>puffshroom</v>
      </c>
      <c r="W46" s="64" t="str">
        <f ca="1">IFERROR(__xludf.DUMMYFUNCTION("""COMPUTED_VALUE"""),"Vanguard")</f>
        <v>Vanguard</v>
      </c>
      <c r="X46" s="64" t="str">
        <f ca="1">IFERROR(__xludf.DUMMYFUNCTION("""COMPUTED_VALUE"""),"PvZ, PvZ 2, PvZ 2 Chinease, PvZ Heroes, PvZ 3")</f>
        <v>PvZ, PvZ 2, PvZ 2 Chinease, PvZ Heroes, PvZ 3</v>
      </c>
      <c r="Y46" s="65" t="str">
        <f ca="1">IFERROR(__xludf.DUMMYFUNCTION("""COMPUTED_VALUE"""),"https://static.wikia.nocookie.net/plantsvszombies/images/2/22/Puff-shroom2.png/revision/latest?cb=20190901141819")</f>
        <v>https://static.wikia.nocookie.net/plantsvszombies/images/2/22/Puff-shroom2.png/revision/latest?cb=20190901141819</v>
      </c>
    </row>
    <row r="47" spans="1:25" x14ac:dyDescent="0.2">
      <c r="A47" s="64">
        <f ca="1">IFERROR(__xludf.DUMMYFUNCTION("""COMPUTED_VALUE"""),46)</f>
        <v>46</v>
      </c>
      <c r="B47" s="64" t="str">
        <f ca="1">IFERROR(__xludf.DUMMYFUNCTION("""COMPUTED_VALUE"""),"Fume-shroom")</f>
        <v>Fume-shroom</v>
      </c>
      <c r="C47" s="64" t="str">
        <f ca="1">IFERROR(__xludf.DUMMYFUNCTION("""COMPUTED_VALUE"""),"Gasogumelo")</f>
        <v>Gasogumelo</v>
      </c>
      <c r="D47" s="64" t="str">
        <f ca="1">IFERROR(__xludf.DUMMYFUNCTION("""COMPUTED_VALUE"""),"Envenenada")</f>
        <v>Envenenada</v>
      </c>
      <c r="E47" s="64" t="str">
        <f ca="1">IFERROR(__xludf.DUMMYFUNCTION("""COMPUTED_VALUE"""),"Dispara uma rajada de gás através dos zumbis.")</f>
        <v>Dispara uma rajada de gás através dos zumbis.</v>
      </c>
      <c r="F47" s="64">
        <f ca="1">IFERROR(__xludf.DUMMYFUNCTION("""COMPUTED_VALUE"""),125)</f>
        <v>125</v>
      </c>
      <c r="G47" s="64">
        <f ca="1">IFERROR(__xludf.DUMMYFUNCTION("""COMPUTED_VALUE"""),300)</f>
        <v>300</v>
      </c>
      <c r="H47" s="64">
        <f ca="1">IFERROR(__xludf.DUMMYFUNCTION("""COMPUTED_VALUE"""),40)</f>
        <v>40</v>
      </c>
      <c r="I47" s="64">
        <f ca="1">IFERROR(__xludf.DUMMYFUNCTION("""COMPUTED_VALUE"""),5)</f>
        <v>5</v>
      </c>
      <c r="J47" s="64" t="str">
        <f ca="1">IFERROR(__xludf.DUMMYFUNCTION("""COMPUTED_VALUE"""),"Sprays a stream of fumes that deal damage and pushes all zombies back.")</f>
        <v>Sprays a stream of fumes that deal damage and pushes all zombies back.</v>
      </c>
      <c r="K47" s="64"/>
      <c r="L47" s="64"/>
      <c r="M47" s="64" t="b">
        <f ca="1">IFERROR(__xludf.DUMMYFUNCTION("""COMPUTED_VALUE"""),FALSE)</f>
        <v>0</v>
      </c>
      <c r="N47" s="64" t="b">
        <f ca="1">IFERROR(__xludf.DUMMYFUNCTION("""COMPUTED_VALUE"""),FALSE)</f>
        <v>0</v>
      </c>
      <c r="O47" s="64">
        <f ca="1">IFERROR(__xludf.DUMMYFUNCTION("""COMPUTED_VALUE"""),0)</f>
        <v>0</v>
      </c>
      <c r="P47" s="64" t="str">
        <f ca="1">IFERROR(__xludf.DUMMYFUNCTION("""COMPUTED_VALUE"""),"Common")</f>
        <v>Common</v>
      </c>
      <c r="Q47" s="64" t="str">
        <f ca="1">IFERROR(__xludf.DUMMYFUNCTION("""COMPUTED_VALUE"""),"area-effect")</f>
        <v>area-effect</v>
      </c>
      <c r="R47" s="64" t="str">
        <f ca="1">IFERROR(__xludf.DUMMYFUNCTION("""COMPUTED_VALUE"""),"Murshroom")</f>
        <v>Murshroom</v>
      </c>
      <c r="S47" s="64" t="str">
        <f ca="1">IFERROR(__xludf.DUMMYFUNCTION("""COMPUTED_VALUE"""),"Natural")</f>
        <v>Natural</v>
      </c>
      <c r="T47" s="64" t="str">
        <f ca="1">IFERROR(__xludf.DUMMYFUNCTION("""COMPUTED_VALUE"""),"None")</f>
        <v>None</v>
      </c>
      <c r="U47" s="64" t="str">
        <f ca="1">IFERROR(__xludf.DUMMYFUNCTION("""COMPUTED_VALUE"""),"None")</f>
        <v>None</v>
      </c>
      <c r="V47" s="64" t="str">
        <f ca="1">IFERROR(__xludf.DUMMYFUNCTION("""COMPUTED_VALUE"""),"fumeshroom")</f>
        <v>fumeshroom</v>
      </c>
      <c r="W47" s="64" t="str">
        <f ca="1">IFERROR(__xludf.DUMMYFUNCTION("""COMPUTED_VALUE"""),"Vanguard")</f>
        <v>Vanguard</v>
      </c>
      <c r="X47" s="64" t="str">
        <f ca="1">IFERROR(__xludf.DUMMYFUNCTION("""COMPUTED_VALUE"""),"PvZ, PvZ 2, PvZ 2 Chinease, PvZ Heroes, PvZ GW 2, PvZ BfN")</f>
        <v>PvZ, PvZ 2, PvZ 2 Chinease, PvZ Heroes, PvZ GW 2, PvZ BfN</v>
      </c>
      <c r="Y47" s="65" t="str">
        <f ca="1">IFERROR(__xludf.DUMMYFUNCTION("""COMPUTED_VALUE"""),"https://static.wikia.nocookie.net/plantsvszombies/images/2/23/Fume-shroom2.png/revision/latest?cb=20230517000416")</f>
        <v>https://static.wikia.nocookie.net/plantsvszombies/images/2/23/Fume-shroom2.png/revision/latest?cb=20230517000416</v>
      </c>
    </row>
    <row r="48" spans="1:25" x14ac:dyDescent="0.2">
      <c r="A48" s="64">
        <f ca="1">IFERROR(__xludf.DUMMYFUNCTION("""COMPUTED_VALUE"""),47)</f>
        <v>47</v>
      </c>
      <c r="B48" s="64" t="str">
        <f ca="1">IFERROR(__xludf.DUMMYFUNCTION("""COMPUTED_VALUE"""),"Sun Bean")</f>
        <v>Sun Bean</v>
      </c>
      <c r="C48" s="64" t="str">
        <f ca="1">IFERROR(__xludf.DUMMYFUNCTION("""COMPUTED_VALUE"""),"Feijão Solar")</f>
        <v>Feijão Solar</v>
      </c>
      <c r="D48" s="64" t="str">
        <f ca="1">IFERROR(__xludf.DUMMYFUNCTION("""COMPUTED_VALUE"""),"Esclarecida")</f>
        <v>Esclarecida</v>
      </c>
      <c r="E48" s="64" t="str">
        <f ca="1">IFERROR(__xludf.DUMMYFUNCTION("""COMPUTED_VALUE"""),"Quando o zumbi que comer esta planta for atacado, ele gerará sóis adicionais.")</f>
        <v>Quando o zumbi que comer esta planta for atacado, ele gerará sóis adicionais.</v>
      </c>
      <c r="F48" s="64">
        <f ca="1">IFERROR(__xludf.DUMMYFUNCTION("""COMPUTED_VALUE"""),50)</f>
        <v>50</v>
      </c>
      <c r="G48" s="64">
        <f ca="1">IFERROR(__xludf.DUMMYFUNCTION("""COMPUTED_VALUE"""),50)</f>
        <v>50</v>
      </c>
      <c r="H48" s="64">
        <f ca="1">IFERROR(__xludf.DUMMYFUNCTION("""COMPUTED_VALUE"""),40)</f>
        <v>40</v>
      </c>
      <c r="I48" s="64">
        <f ca="1">IFERROR(__xludf.DUMMYFUNCTION("""COMPUTED_VALUE"""),20)</f>
        <v>20</v>
      </c>
      <c r="J48" s="64" t="str">
        <f ca="1">IFERROR(__xludf.DUMMYFUNCTION("""COMPUTED_VALUE"""),"Increase the amount of sun produces with eaten.")</f>
        <v>Increase the amount of sun produces with eaten.</v>
      </c>
      <c r="K48" s="64"/>
      <c r="L48" s="64"/>
      <c r="M48" s="64" t="b">
        <f ca="1">IFERROR(__xludf.DUMMYFUNCTION("""COMPUTED_VALUE"""),TRUE)</f>
        <v>1</v>
      </c>
      <c r="N48" s="64" t="b">
        <f ca="1">IFERROR(__xludf.DUMMYFUNCTION("""COMPUTED_VALUE"""),FALSE)</f>
        <v>0</v>
      </c>
      <c r="O48" s="64">
        <f ca="1">IFERROR(__xludf.DUMMYFUNCTION("""COMPUTED_VALUE"""),300)</f>
        <v>300</v>
      </c>
      <c r="P48" s="64" t="str">
        <f ca="1">IFERROR(__xludf.DUMMYFUNCTION("""COMPUTED_VALUE"""),"Common")</f>
        <v>Common</v>
      </c>
      <c r="Q48" s="64"/>
      <c r="R48" s="64" t="str">
        <f ca="1">IFERROR(__xludf.DUMMYFUNCTION("""COMPUTED_VALUE"""),"Bean")</f>
        <v>Bean</v>
      </c>
      <c r="S48" s="64" t="str">
        <f ca="1">IFERROR(__xludf.DUMMYFUNCTION("""COMPUTED_VALUE"""),"Natural")</f>
        <v>Natural</v>
      </c>
      <c r="T48" s="64" t="str">
        <f ca="1">IFERROR(__xludf.DUMMYFUNCTION("""COMPUTED_VALUE"""),"None")</f>
        <v>None</v>
      </c>
      <c r="U48" s="64" t="str">
        <f ca="1">IFERROR(__xludf.DUMMYFUNCTION("""COMPUTED_VALUE"""),"None")</f>
        <v>None</v>
      </c>
      <c r="V48" s="64" t="str">
        <f ca="1">IFERROR(__xludf.DUMMYFUNCTION("""COMPUTED_VALUE"""),"sunbean")</f>
        <v>sunbean</v>
      </c>
      <c r="W48" s="64" t="str">
        <f ca="1">IFERROR(__xludf.DUMMYFUNCTION("""COMPUTED_VALUE"""),"Sun")</f>
        <v>Sun</v>
      </c>
      <c r="X48" s="64" t="str">
        <f ca="1">IFERROR(__xludf.DUMMYFUNCTION("""COMPUTED_VALUE"""),"PvZ 2, PvZ 2 Chinease")</f>
        <v>PvZ 2, PvZ 2 Chinease</v>
      </c>
      <c r="Y48" s="65" t="str">
        <f ca="1">IFERROR(__xludf.DUMMYFUNCTION("""COMPUTED_VALUE"""),"https://static.wikia.nocookie.net/plantsvszombies/images/4/4d/Sun_Bean2.png/revision/latest?cb=20190221195735")</f>
        <v>https://static.wikia.nocookie.net/plantsvszombies/images/4/4d/Sun_Bean2.png/revision/latest?cb=20190221195735</v>
      </c>
    </row>
    <row r="49" spans="1:25" x14ac:dyDescent="0.2">
      <c r="A49" s="64">
        <f ca="1">IFERROR(__xludf.DUMMYFUNCTION("""COMPUTED_VALUE"""),48)</f>
        <v>48</v>
      </c>
      <c r="B49" s="64" t="str">
        <f ca="1">IFERROR(__xludf.DUMMYFUNCTION("""COMPUTED_VALUE"""),"Magnet-shroom")</f>
        <v>Magnet-shroom</v>
      </c>
      <c r="C49" s="64" t="str">
        <f ca="1">IFERROR(__xludf.DUMMYFUNCTION("""COMPUTED_VALUE"""),"Imãgumelo")</f>
        <v>Imãgumelo</v>
      </c>
      <c r="D49" s="64" t="str">
        <f ca="1">IFERROR(__xludf.DUMMYFUNCTION("""COMPUTED_VALUE"""),"Refrea")</f>
        <v>Refrea</v>
      </c>
      <c r="E49" s="64" t="str">
        <f ca="1">IFERROR(__xludf.DUMMYFUNCTION("""COMPUTED_VALUE"""),"Remove objetos metálicos de zumbis.")</f>
        <v>Remove objetos metálicos de zumbis.</v>
      </c>
      <c r="F49" s="64">
        <f ca="1">IFERROR(__xludf.DUMMYFUNCTION("""COMPUTED_VALUE"""),100)</f>
        <v>100</v>
      </c>
      <c r="G49" s="64">
        <f ca="1">IFERROR(__xludf.DUMMYFUNCTION("""COMPUTED_VALUE"""),300)</f>
        <v>300</v>
      </c>
      <c r="H49" s="64">
        <f ca="1">IFERROR(__xludf.DUMMYFUNCTION("""COMPUTED_VALUE"""),0)</f>
        <v>0</v>
      </c>
      <c r="I49" s="64">
        <f ca="1">IFERROR(__xludf.DUMMYFUNCTION("""COMPUTED_VALUE"""),15)</f>
        <v>15</v>
      </c>
      <c r="J49" s="64" t="str">
        <f ca="1">IFERROR(__xludf.DUMMYFUNCTION("""COMPUTED_VALUE"""),"Remove and toss all metal objects on zombies within range, dealing damage.")</f>
        <v>Remove and toss all metal objects on zombies within range, dealing damage.</v>
      </c>
      <c r="K49" s="64"/>
      <c r="L49" s="64" t="str">
        <f ca="1">IFERROR(__xludf.DUMMYFUNCTION("""COMPUTED_VALUE"""),"Special - Removes metal objects from zombies")</f>
        <v>Special - Removes metal objects from zombies</v>
      </c>
      <c r="M49" s="64" t="b">
        <f ca="1">IFERROR(__xludf.DUMMYFUNCTION("""COMPUTED_VALUE"""),FALSE)</f>
        <v>0</v>
      </c>
      <c r="N49" s="64" t="b">
        <f ca="1">IFERROR(__xludf.DUMMYFUNCTION("""COMPUTED_VALUE"""),FALSE)</f>
        <v>0</v>
      </c>
      <c r="O49" s="64">
        <f ca="1">IFERROR(__xludf.DUMMYFUNCTION("""COMPUTED_VALUE"""),0)</f>
        <v>0</v>
      </c>
      <c r="P49" s="64" t="str">
        <f ca="1">IFERROR(__xludf.DUMMYFUNCTION("""COMPUTED_VALUE"""),"Common")</f>
        <v>Common</v>
      </c>
      <c r="Q49" s="64" t="str">
        <f ca="1">IFERROR(__xludf.DUMMYFUNCTION("""COMPUTED_VALUE"""),"control")</f>
        <v>control</v>
      </c>
      <c r="R49" s="64" t="str">
        <f ca="1">IFERROR(__xludf.DUMMYFUNCTION("""COMPUTED_VALUE"""),"Murshroom")</f>
        <v>Murshroom</v>
      </c>
      <c r="S49" s="64" t="str">
        <f ca="1">IFERROR(__xludf.DUMMYFUNCTION("""COMPUTED_VALUE"""),"Natural")</f>
        <v>Natural</v>
      </c>
      <c r="T49" s="64" t="str">
        <f ca="1">IFERROR(__xludf.DUMMYFUNCTION("""COMPUTED_VALUE"""),"None")</f>
        <v>None</v>
      </c>
      <c r="U49" s="64" t="str">
        <f ca="1">IFERROR(__xludf.DUMMYFUNCTION("""COMPUTED_VALUE"""),"None")</f>
        <v>None</v>
      </c>
      <c r="V49" s="64" t="str">
        <f ca="1">IFERROR(__xludf.DUMMYFUNCTION("""COMPUTED_VALUE"""),"magnetshroom")</f>
        <v>magnetshroom</v>
      </c>
      <c r="W49" s="64" t="str">
        <f ca="1">IFERROR(__xludf.DUMMYFUNCTION("""COMPUTED_VALUE"""),"Special")</f>
        <v>Special</v>
      </c>
      <c r="X49" s="64" t="str">
        <f ca="1">IFERROR(__xludf.DUMMYFUNCTION("""COMPUTED_VALUE"""),"PvZ, PvZ 2, PvZ 2 Chinease, PvZ Heroes")</f>
        <v>PvZ, PvZ 2, PvZ 2 Chinease, PvZ Heroes</v>
      </c>
      <c r="Y49" s="65" t="str">
        <f ca="1">IFERROR(__xludf.DUMMYFUNCTION("""COMPUTED_VALUE"""),"https://static.wikia.nocookie.net/plantsvszombies/images/4/49/Magnet-shroom2.png/revision/latest?cb=20160905222641")</f>
        <v>https://static.wikia.nocookie.net/plantsvszombies/images/4/49/Magnet-shroom2.png/revision/latest?cb=20160905222641</v>
      </c>
    </row>
    <row r="50" spans="1:25" x14ac:dyDescent="0.2">
      <c r="A50" s="64">
        <f ca="1">IFERROR(__xludf.DUMMYFUNCTION("""COMPUTED_VALUE"""),49)</f>
        <v>49</v>
      </c>
      <c r="B50" s="64" t="str">
        <f ca="1">IFERROR(__xludf.DUMMYFUNCTION("""COMPUTED_VALUE"""),"Phat Beet")</f>
        <v>Phat Beet</v>
      </c>
      <c r="C50" s="64" t="str">
        <f ca="1">IFERROR(__xludf.DUMMYFUNCTION("""COMPUTED_VALUE"""),"Beat Rhaba")</f>
        <v>Beat Rhaba</v>
      </c>
      <c r="D50" s="64" t="str">
        <f ca="1">IFERROR(__xludf.DUMMYFUNCTION("""COMPUTED_VALUE"""),"Surra")</f>
        <v>Surra</v>
      </c>
      <c r="E50" s="64" t="str">
        <f ca="1">IFERROR(__xludf.DUMMYFUNCTION("""COMPUTED_VALUE"""),"Bate no chão criando uma onda de som.")</f>
        <v>Bate no chão criando uma onda de som.</v>
      </c>
      <c r="F50" s="64">
        <f ca="1">IFERROR(__xludf.DUMMYFUNCTION("""COMPUTED_VALUE"""),150)</f>
        <v>150</v>
      </c>
      <c r="G50" s="64">
        <f ca="1">IFERROR(__xludf.DUMMYFUNCTION("""COMPUTED_VALUE"""),300)</f>
        <v>300</v>
      </c>
      <c r="H50" s="64">
        <f ca="1">IFERROR(__xludf.DUMMYFUNCTION("""COMPUTED_VALUE"""),15)</f>
        <v>15</v>
      </c>
      <c r="I50" s="64">
        <f ca="1">IFERROR(__xludf.DUMMYFUNCTION("""COMPUTED_VALUE"""),5)</f>
        <v>5</v>
      </c>
      <c r="J50" s="64" t="str">
        <f ca="1">IFERROR(__xludf.DUMMYFUNCTION("""COMPUTED_VALUE"""),"Thump the ground, dealing damage to surrounding zombies.")</f>
        <v>Thump the ground, dealing damage to surrounding zombies.</v>
      </c>
      <c r="K50" s="64"/>
      <c r="L50" s="64"/>
      <c r="M50" s="64" t="b">
        <f ca="1">IFERROR(__xludf.DUMMYFUNCTION("""COMPUTED_VALUE"""),FALSE)</f>
        <v>0</v>
      </c>
      <c r="N50" s="64" t="b">
        <f ca="1">IFERROR(__xludf.DUMMYFUNCTION("""COMPUTED_VALUE"""),FALSE)</f>
        <v>0</v>
      </c>
      <c r="O50" s="64">
        <f ca="1">IFERROR(__xludf.DUMMYFUNCTION("""COMPUTED_VALUE"""),0)</f>
        <v>0</v>
      </c>
      <c r="P50" s="64" t="str">
        <f ca="1">IFERROR(__xludf.DUMMYFUNCTION("""COMPUTED_VALUE"""),"Common")</f>
        <v>Common</v>
      </c>
      <c r="Q50" s="64" t="str">
        <f ca="1">IFERROR(__xludf.DUMMYFUNCTION("""COMPUTED_VALUE"""),"area-effect")</f>
        <v>area-effect</v>
      </c>
      <c r="R50" s="64" t="str">
        <f ca="1">IFERROR(__xludf.DUMMYFUNCTION("""COMPUTED_VALUE"""),"Root")</f>
        <v>Root</v>
      </c>
      <c r="S50" s="64" t="str">
        <f ca="1">IFERROR(__xludf.DUMMYFUNCTION("""COMPUTED_VALUE"""),"Natural")</f>
        <v>Natural</v>
      </c>
      <c r="T50" s="64" t="str">
        <f ca="1">IFERROR(__xludf.DUMMYFUNCTION("""COMPUTED_VALUE"""),"None")</f>
        <v>None</v>
      </c>
      <c r="U50" s="64" t="str">
        <f ca="1">IFERROR(__xludf.DUMMYFUNCTION("""COMPUTED_VALUE"""),"None")</f>
        <v>None</v>
      </c>
      <c r="V50" s="64" t="str">
        <f ca="1">IFERROR(__xludf.DUMMYFUNCTION("""COMPUTED_VALUE"""),"phatbeet")</f>
        <v>phatbeet</v>
      </c>
      <c r="W50" s="64" t="str">
        <f ca="1">IFERROR(__xludf.DUMMYFUNCTION("""COMPUTED_VALUE"""),"Vanguard")</f>
        <v>Vanguard</v>
      </c>
      <c r="X50" s="64" t="str">
        <f ca="1">IFERROR(__xludf.DUMMYFUNCTION("""COMPUTED_VALUE"""),"PvZ 2, PvZ 2 Chinease")</f>
        <v>PvZ 2, PvZ 2 Chinease</v>
      </c>
      <c r="Y50" s="65" t="str">
        <f ca="1">IFERROR(__xludf.DUMMYFUNCTION("""COMPUTED_VALUE"""),"https://static.wikia.nocookie.net/plantsvszombies/images/c/ce/Phat_Beet2.png/revision/latest?cb=20150822202144")</f>
        <v>https://static.wikia.nocookie.net/plantsvszombies/images/c/ce/Phat_Beet2.png/revision/latest?cb=20150822202144</v>
      </c>
    </row>
    <row r="51" spans="1:25" x14ac:dyDescent="0.2">
      <c r="A51" s="64">
        <f ca="1">IFERROR(__xludf.DUMMYFUNCTION("""COMPUTED_VALUE"""),50)</f>
        <v>50</v>
      </c>
      <c r="B51" s="64" t="str">
        <f ca="1">IFERROR(__xludf.DUMMYFUNCTION("""COMPUTED_VALUE"""),"Celery Stalker")</f>
        <v>Celery Stalker</v>
      </c>
      <c r="C51" s="64" t="str">
        <f ca="1">IFERROR(__xludf.DUMMYFUNCTION("""COMPUTED_VALUE"""),"Aipo Algoz")</f>
        <v>Aipo Algoz</v>
      </c>
      <c r="D51" s="64" t="str">
        <f ca="1">IFERROR(__xludf.DUMMYFUNCTION("""COMPUTED_VALUE"""),"Surra")</f>
        <v>Surra</v>
      </c>
      <c r="E51" s="64" t="str">
        <f ca="1">IFERROR(__xludf.DUMMYFUNCTION("""COMPUTED_VALUE"""),"Ataca ferrozmente o zumbi na retaguarda.")</f>
        <v>Ataca ferrozmente o zumbi na retaguarda.</v>
      </c>
      <c r="F51" s="64">
        <f ca="1">IFERROR(__xludf.DUMMYFUNCTION("""COMPUTED_VALUE"""),50)</f>
        <v>50</v>
      </c>
      <c r="G51" s="64">
        <f ca="1">IFERROR(__xludf.DUMMYFUNCTION("""COMPUTED_VALUE"""),1200)</f>
        <v>1200</v>
      </c>
      <c r="H51" s="64">
        <f ca="1">IFERROR(__xludf.DUMMYFUNCTION("""COMPUTED_VALUE"""),100)</f>
        <v>100</v>
      </c>
      <c r="I51" s="64">
        <f ca="1">IFERROR(__xludf.DUMMYFUNCTION("""COMPUTED_VALUE"""),15)</f>
        <v>15</v>
      </c>
      <c r="J51" s="64" t="str">
        <f ca="1">IFERROR(__xludf.DUMMYFUNCTION("""COMPUTED_VALUE"""),"Heals itself to full and spawns three Celery Stalker.")</f>
        <v>Heals itself to full and spawns three Celery Stalker.</v>
      </c>
      <c r="K51" s="64"/>
      <c r="L51" s="64"/>
      <c r="M51" s="64" t="b">
        <f ca="1">IFERROR(__xludf.DUMMYFUNCTION("""COMPUTED_VALUE"""),FALSE)</f>
        <v>0</v>
      </c>
      <c r="N51" s="64" t="b">
        <f ca="1">IFERROR(__xludf.DUMMYFUNCTION("""COMPUTED_VALUE"""),FALSE)</f>
        <v>0</v>
      </c>
      <c r="O51" s="64">
        <f ca="1">IFERROR(__xludf.DUMMYFUNCTION("""COMPUTED_VALUE"""),0)</f>
        <v>0</v>
      </c>
      <c r="P51" s="64" t="str">
        <f ca="1">IFERROR(__xludf.DUMMYFUNCTION("""COMPUTED_VALUE"""),"Common")</f>
        <v>Common</v>
      </c>
      <c r="Q51" s="64" t="str">
        <f ca="1">IFERROR(__xludf.DUMMYFUNCTION("""COMPUTED_VALUE"""),"attack_backwards")</f>
        <v>attack_backwards</v>
      </c>
      <c r="R51" s="64" t="str">
        <f ca="1">IFERROR(__xludf.DUMMYFUNCTION("""COMPUTED_VALUE"""),"Leaf")</f>
        <v>Leaf</v>
      </c>
      <c r="S51" s="64" t="str">
        <f ca="1">IFERROR(__xludf.DUMMYFUNCTION("""COMPUTED_VALUE"""),"Natural")</f>
        <v>Natural</v>
      </c>
      <c r="T51" s="64" t="str">
        <f ca="1">IFERROR(__xludf.DUMMYFUNCTION("""COMPUTED_VALUE"""),"None")</f>
        <v>None</v>
      </c>
      <c r="U51" s="64" t="str">
        <f ca="1">IFERROR(__xludf.DUMMYFUNCTION("""COMPUTED_VALUE"""),"None")</f>
        <v>None</v>
      </c>
      <c r="V51" s="64" t="str">
        <f ca="1">IFERROR(__xludf.DUMMYFUNCTION("""COMPUTED_VALUE"""),"celerystalker")</f>
        <v>celerystalker</v>
      </c>
      <c r="W51" s="64" t="str">
        <f ca="1">IFERROR(__xludf.DUMMYFUNCTION("""COMPUTED_VALUE"""),"Vanguard")</f>
        <v>Vanguard</v>
      </c>
      <c r="X51" s="64" t="str">
        <f ca="1">IFERROR(__xludf.DUMMYFUNCTION("""COMPUTED_VALUE"""),"PvZ 2, PvZ 2 Chinease")</f>
        <v>PvZ 2, PvZ 2 Chinease</v>
      </c>
      <c r="Y51" s="65" t="str">
        <f ca="1">IFERROR(__xludf.DUMMYFUNCTION("""COMPUTED_VALUE"""),"https://static.wikia.nocookie.net/plantsvszombies/images/a/a5/Celery_Stalker2.png/revision/latest?cb=20150822202352")</f>
        <v>https://static.wikia.nocookie.net/plantsvszombies/images/a/a5/Celery_Stalker2.png/revision/latest?cb=20150822202352</v>
      </c>
    </row>
    <row r="52" spans="1:25" x14ac:dyDescent="0.2">
      <c r="A52" s="64">
        <f ca="1">IFERROR(__xludf.DUMMYFUNCTION("""COMPUTED_VALUE"""),51)</f>
        <v>51</v>
      </c>
      <c r="B52" s="64" t="str">
        <f ca="1">IFERROR(__xludf.DUMMYFUNCTION("""COMPUTED_VALUE"""),"Thyme Warp")</f>
        <v>Thyme Warp</v>
      </c>
      <c r="C52" s="64" t="str">
        <f ca="1">IFERROR(__xludf.DUMMYFUNCTION("""COMPUTED_VALUE"""),"Cronotomilho")</f>
        <v>Cronotomilho</v>
      </c>
      <c r="D52" s="64" t="str">
        <f ca="1">IFERROR(__xludf.DUMMYFUNCTION("""COMPUTED_VALUE"""),"Encanta")</f>
        <v>Encanta</v>
      </c>
      <c r="E52" s="64" t="str">
        <f ca="1">IFERROR(__xludf.DUMMYFUNCTION("""COMPUTED_VALUE"""),"Retroscede todos os zumbis.")</f>
        <v>Retroscede todos os zumbis.</v>
      </c>
      <c r="F52" s="64">
        <f ca="1">IFERROR(__xludf.DUMMYFUNCTION("""COMPUTED_VALUE"""),100)</f>
        <v>100</v>
      </c>
      <c r="G52" s="64">
        <f ca="1">IFERROR(__xludf.DUMMYFUNCTION("""COMPUTED_VALUE"""),1)</f>
        <v>1</v>
      </c>
      <c r="H52" s="64">
        <f ca="1">IFERROR(__xludf.DUMMYFUNCTION("""COMPUTED_VALUE"""),0)</f>
        <v>0</v>
      </c>
      <c r="I52" s="64">
        <f ca="1">IFERROR(__xludf.DUMMYFUNCTION("""COMPUTED_VALUE"""),90)</f>
        <v>90</v>
      </c>
      <c r="J52" s="64" t="str">
        <f ca="1">IFERROR(__xludf.DUMMYFUNCTION("""COMPUTED_VALUE"""),"No Plant Food effect.")</f>
        <v>No Plant Food effect.</v>
      </c>
      <c r="K52" s="64"/>
      <c r="L52" s="64" t="str">
        <f ca="1">IFERROR(__xludf.DUMMYFUNCTION("""COMPUTED_VALUE"""),"Special - Rewound zombies have restored health")</f>
        <v>Special - Rewound zombies have restored health</v>
      </c>
      <c r="M52" s="64" t="b">
        <f ca="1">IFERROR(__xludf.DUMMYFUNCTION("""COMPUTED_VALUE"""),TRUE)</f>
        <v>1</v>
      </c>
      <c r="N52" s="64" t="b">
        <f ca="1">IFERROR(__xludf.DUMMYFUNCTION("""COMPUTED_VALUE"""),TRUE)</f>
        <v>1</v>
      </c>
      <c r="O52" s="64">
        <f ca="1">IFERROR(__xludf.DUMMYFUNCTION("""COMPUTED_VALUE"""),0)</f>
        <v>0</v>
      </c>
      <c r="P52" s="64" t="str">
        <f ca="1">IFERROR(__xludf.DUMMYFUNCTION("""COMPUTED_VALUE"""),"Rare")</f>
        <v>Rare</v>
      </c>
      <c r="Q52" s="64" t="str">
        <f ca="1">IFERROR(__xludf.DUMMYFUNCTION("""COMPUTED_VALUE"""),"control")</f>
        <v>control</v>
      </c>
      <c r="R52" s="64" t="str">
        <f ca="1">IFERROR(__xludf.DUMMYFUNCTION("""COMPUTED_VALUE"""),"Leaf")</f>
        <v>Leaf</v>
      </c>
      <c r="S52" s="64" t="str">
        <f ca="1">IFERROR(__xludf.DUMMYFUNCTION("""COMPUTED_VALUE"""),"Natural")</f>
        <v>Natural</v>
      </c>
      <c r="T52" s="64" t="str">
        <f ca="1">IFERROR(__xludf.DUMMYFUNCTION("""COMPUTED_VALUE"""),"None")</f>
        <v>None</v>
      </c>
      <c r="U52" s="64" t="str">
        <f ca="1">IFERROR(__xludf.DUMMYFUNCTION("""COMPUTED_VALUE"""),"None")</f>
        <v>None</v>
      </c>
      <c r="V52" s="64" t="str">
        <f ca="1">IFERROR(__xludf.DUMMYFUNCTION("""COMPUTED_VALUE"""),"thymewarp")</f>
        <v>thymewarp</v>
      </c>
      <c r="W52" s="64" t="str">
        <f ca="1">IFERROR(__xludf.DUMMYFUNCTION("""COMPUTED_VALUE"""),"Special")</f>
        <v>Special</v>
      </c>
      <c r="X52" s="64" t="str">
        <f ca="1">IFERROR(__xludf.DUMMYFUNCTION("""COMPUTED_VALUE"""),"PvZ 2, PvZ 2 Chinease")</f>
        <v>PvZ 2, PvZ 2 Chinease</v>
      </c>
      <c r="Y52" s="65" t="str">
        <f ca="1">IFERROR(__xludf.DUMMYFUNCTION("""COMPUTED_VALUE"""),"https://static.wikia.nocookie.net/plantsvszombies/images/4/4c/Thyme_Warp2.png/revision/latest?cb=20150822202401")</f>
        <v>https://static.wikia.nocookie.net/plantsvszombies/images/4/4c/Thyme_Warp2.png/revision/latest?cb=20150822202401</v>
      </c>
    </row>
    <row r="53" spans="1:25" x14ac:dyDescent="0.2">
      <c r="A53" s="64">
        <f ca="1">IFERROR(__xludf.DUMMYFUNCTION("""COMPUTED_VALUE"""),52)</f>
        <v>52</v>
      </c>
      <c r="B53" s="64" t="str">
        <f ca="1">IFERROR(__xludf.DUMMYFUNCTION("""COMPUTED_VALUE"""),"Garlic")</f>
        <v>Garlic</v>
      </c>
      <c r="C53" s="64" t="str">
        <f ca="1">IFERROR(__xludf.DUMMYFUNCTION("""COMPUTED_VALUE"""),"Alho")</f>
        <v>Alho</v>
      </c>
      <c r="D53" s="64" t="str">
        <f ca="1">IFERROR(__xludf.DUMMYFUNCTION("""COMPUTED_VALUE"""),"Envenenada")</f>
        <v>Envenenada</v>
      </c>
      <c r="E53" s="64" t="str">
        <f ca="1">IFERROR(__xludf.DUMMYFUNCTION("""COMPUTED_VALUE"""),"Muda o zumbi que o comer de fileira.")</f>
        <v>Muda o zumbi que o comer de fileira.</v>
      </c>
      <c r="F53" s="64">
        <f ca="1">IFERROR(__xludf.DUMMYFUNCTION("""COMPUTED_VALUE"""),50)</f>
        <v>50</v>
      </c>
      <c r="G53" s="64">
        <f ca="1">IFERROR(__xludf.DUMMYFUNCTION("""COMPUTED_VALUE"""),600)</f>
        <v>600</v>
      </c>
      <c r="H53" s="64">
        <f ca="1">IFERROR(__xludf.DUMMYFUNCTION("""COMPUTED_VALUE"""),0)</f>
        <v>0</v>
      </c>
      <c r="I53" s="64">
        <f ca="1">IFERROR(__xludf.DUMMYFUNCTION("""COMPUTED_VALUE"""),20)</f>
        <v>20</v>
      </c>
      <c r="J53" s="64" t="str">
        <f ca="1">IFERROR(__xludf.DUMMYFUNCTION("""COMPUTED_VALUE"""),"Heals itself and releases gas that will temporarily stun zombies in front and divert them to another column.")</f>
        <v>Heals itself and releases gas that will temporarily stun zombies in front and divert them to another column.</v>
      </c>
      <c r="K53" s="64"/>
      <c r="L53" s="64"/>
      <c r="M53" s="64" t="b">
        <f ca="1">IFERROR(__xludf.DUMMYFUNCTION("""COMPUTED_VALUE"""),FALSE)</f>
        <v>0</v>
      </c>
      <c r="N53" s="64" t="b">
        <f ca="1">IFERROR(__xludf.DUMMYFUNCTION("""COMPUTED_VALUE"""),FALSE)</f>
        <v>0</v>
      </c>
      <c r="O53" s="64">
        <f ca="1">IFERROR(__xludf.DUMMYFUNCTION("""COMPUTED_VALUE"""),0)</f>
        <v>0</v>
      </c>
      <c r="P53" s="64" t="str">
        <f ca="1">IFERROR(__xludf.DUMMYFUNCTION("""COMPUTED_VALUE"""),"Common")</f>
        <v>Common</v>
      </c>
      <c r="Q53" s="64" t="str">
        <f ca="1">IFERROR(__xludf.DUMMYFUNCTION("""COMPUTED_VALUE"""),"control")</f>
        <v>control</v>
      </c>
      <c r="R53" s="64" t="str">
        <f ca="1">IFERROR(__xludf.DUMMYFUNCTION("""COMPUTED_VALUE"""),"Vegetable")</f>
        <v>Vegetable</v>
      </c>
      <c r="S53" s="64" t="str">
        <f ca="1">IFERROR(__xludf.DUMMYFUNCTION("""COMPUTED_VALUE"""),"Natural")</f>
        <v>Natural</v>
      </c>
      <c r="T53" s="64" t="str">
        <f ca="1">IFERROR(__xludf.DUMMYFUNCTION("""COMPUTED_VALUE"""),"None")</f>
        <v>None</v>
      </c>
      <c r="U53" s="64" t="str">
        <f ca="1">IFERROR(__xludf.DUMMYFUNCTION("""COMPUTED_VALUE"""),"None")</f>
        <v>None</v>
      </c>
      <c r="V53" s="64" t="str">
        <f ca="1">IFERROR(__xludf.DUMMYFUNCTION("""COMPUTED_VALUE"""),"garlic")</f>
        <v>garlic</v>
      </c>
      <c r="W53" s="64" t="str">
        <f ca="1">IFERROR(__xludf.DUMMYFUNCTION("""COMPUTED_VALUE"""),"Special")</f>
        <v>Special</v>
      </c>
      <c r="X53" s="64" t="str">
        <f ca="1">IFERROR(__xludf.DUMMYFUNCTION("""COMPUTED_VALUE"""),"PvZ, PvZ 2, PvZ 2 Chinease, PvZ Heroes, PvZ GW, PvZ GW 2, PvZ BfN")</f>
        <v>PvZ, PvZ 2, PvZ 2 Chinease, PvZ Heroes, PvZ GW, PvZ GW 2, PvZ BfN</v>
      </c>
      <c r="Y53" s="65" t="str">
        <f ca="1">IFERROR(__xludf.DUMMYFUNCTION("""COMPUTED_VALUE"""),"https://static.wikia.nocookie.net/plantsvszombies/images/2/21/Garlic2.png/revision/latest?cb=20190624020121")</f>
        <v>https://static.wikia.nocookie.net/plantsvszombies/images/2/21/Garlic2.png/revision/latest?cb=20190624020121</v>
      </c>
    </row>
    <row r="54" spans="1:25" x14ac:dyDescent="0.2">
      <c r="A54" s="64">
        <f ca="1">IFERROR(__xludf.DUMMYFUNCTION("""COMPUTED_VALUE"""),53)</f>
        <v>53</v>
      </c>
      <c r="B54" s="64" t="str">
        <f ca="1">IFERROR(__xludf.DUMMYFUNCTION("""COMPUTED_VALUE"""),"Spore-shroom")</f>
        <v>Spore-shroom</v>
      </c>
      <c r="C54" s="64" t="str">
        <f ca="1">IFERROR(__xludf.DUMMYFUNCTION("""COMPUTED_VALUE"""),"Esporogumelo")</f>
        <v>Esporogumelo</v>
      </c>
      <c r="D54" s="64" t="str">
        <f ca="1">IFERROR(__xludf.DUMMYFUNCTION("""COMPUTED_VALUE"""),"Envenenada")</f>
        <v>Envenenada</v>
      </c>
      <c r="E54" s="64" t="str">
        <f ca="1">IFERROR(__xludf.DUMMYFUNCTION("""COMPUTED_VALUE"""),"Dispara esporos em parábola, que criam novos esporogumelos ao derrotar um zumbi.")</f>
        <v>Dispara esporos em parábola, que criam novos esporogumelos ao derrotar um zumbi.</v>
      </c>
      <c r="F54" s="64">
        <f ca="1">IFERROR(__xludf.DUMMYFUNCTION("""COMPUTED_VALUE"""),150)</f>
        <v>150</v>
      </c>
      <c r="G54" s="64">
        <f ca="1">IFERROR(__xludf.DUMMYFUNCTION("""COMPUTED_VALUE"""),300)</f>
        <v>300</v>
      </c>
      <c r="H54" s="64">
        <f ca="1">IFERROR(__xludf.DUMMYFUNCTION("""COMPUTED_VALUE"""),50)</f>
        <v>50</v>
      </c>
      <c r="I54" s="64">
        <f ca="1">IFERROR(__xludf.DUMMYFUNCTION("""COMPUTED_VALUE"""),5)</f>
        <v>5</v>
      </c>
      <c r="J54" s="64" t="str">
        <f ca="1">IFERROR(__xludf.DUMMYFUNCTION("""COMPUTED_VALUE"""),"Lobs three giant spores that deal massive damage, spawns a spore if the zombie is defeated.")</f>
        <v>Lobs three giant spores that deal massive damage, spawns a spore if the zombie is defeated.</v>
      </c>
      <c r="K54" s="64"/>
      <c r="L54" s="64"/>
      <c r="M54" s="64" t="b">
        <f ca="1">IFERROR(__xludf.DUMMYFUNCTION("""COMPUTED_VALUE"""),FALSE)</f>
        <v>0</v>
      </c>
      <c r="N54" s="64" t="b">
        <f ca="1">IFERROR(__xludf.DUMMYFUNCTION("""COMPUTED_VALUE"""),FALSE)</f>
        <v>0</v>
      </c>
      <c r="O54" s="64">
        <f ca="1">IFERROR(__xludf.DUMMYFUNCTION("""COMPUTED_VALUE"""),0)</f>
        <v>0</v>
      </c>
      <c r="P54" s="64" t="str">
        <f ca="1">IFERROR(__xludf.DUMMYFUNCTION("""COMPUTED_VALUE"""),"Uncommon")</f>
        <v>Uncommon</v>
      </c>
      <c r="Q54" s="64"/>
      <c r="R54" s="64" t="str">
        <f ca="1">IFERROR(__xludf.DUMMYFUNCTION("""COMPUTED_VALUE"""),"Murshroom")</f>
        <v>Murshroom</v>
      </c>
      <c r="S54" s="64" t="str">
        <f ca="1">IFERROR(__xludf.DUMMYFUNCTION("""COMPUTED_VALUE"""),"Natural")</f>
        <v>Natural</v>
      </c>
      <c r="T54" s="64" t="str">
        <f ca="1">IFERROR(__xludf.DUMMYFUNCTION("""COMPUTED_VALUE"""),"None")</f>
        <v>None</v>
      </c>
      <c r="U54" s="64" t="str">
        <f ca="1">IFERROR(__xludf.DUMMYFUNCTION("""COMPUTED_VALUE"""),"None")</f>
        <v>None</v>
      </c>
      <c r="V54" s="64" t="str">
        <f ca="1">IFERROR(__xludf.DUMMYFUNCTION("""COMPUTED_VALUE"""),"sporeshroom")</f>
        <v>sporeshroom</v>
      </c>
      <c r="W54" s="64" t="str">
        <f ca="1">IFERROR(__xludf.DUMMYFUNCTION("""COMPUTED_VALUE"""),"Ranged")</f>
        <v>Ranged</v>
      </c>
      <c r="X54" s="64" t="str">
        <f ca="1">IFERROR(__xludf.DUMMYFUNCTION("""COMPUTED_VALUE"""),"PvZ 2, PvZ 2 Chinease, PvZ Heroes")</f>
        <v>PvZ 2, PvZ 2 Chinease, PvZ Heroes</v>
      </c>
      <c r="Y54" s="65" t="str">
        <f ca="1">IFERROR(__xludf.DUMMYFUNCTION("""COMPUTED_VALUE"""),"https://static.wikia.nocookie.net/plantsvszombies/images/d/d6/Spore-shroom2.png/revision/latest?cb=20180304014203")</f>
        <v>https://static.wikia.nocookie.net/plantsvszombies/images/d/d6/Spore-shroom2.png/revision/latest?cb=20180304014203</v>
      </c>
    </row>
    <row r="55" spans="1:25" x14ac:dyDescent="0.2">
      <c r="A55" s="64">
        <f ca="1">IFERROR(__xludf.DUMMYFUNCTION("""COMPUTED_VALUE"""),54)</f>
        <v>54</v>
      </c>
      <c r="B55" s="64" t="str">
        <f ca="1">IFERROR(__xludf.DUMMYFUNCTION("""COMPUTED_VALUE"""),"Intensive Carrot")</f>
        <v>Intensive Carrot</v>
      </c>
      <c r="C55" s="64" t="str">
        <f ca="1">IFERROR(__xludf.DUMMYFUNCTION("""COMPUTED_VALUE"""),"Cenoura do Poder")</f>
        <v>Cenoura do Poder</v>
      </c>
      <c r="D55" s="64" t="str">
        <f ca="1">IFERROR(__xludf.DUMMYFUNCTION("""COMPUTED_VALUE"""),"Encanta")</f>
        <v>Encanta</v>
      </c>
      <c r="E55" s="64" t="str">
        <f ca="1">IFERROR(__xludf.DUMMYFUNCTION("""COMPUTED_VALUE"""),"Restaura uma planta nocauteada.")</f>
        <v>Restaura uma planta nocauteada.</v>
      </c>
      <c r="F55" s="64">
        <f ca="1">IFERROR(__xludf.DUMMYFUNCTION("""COMPUTED_VALUE"""),100)</f>
        <v>100</v>
      </c>
      <c r="G55" s="64">
        <f ca="1">IFERROR(__xludf.DUMMYFUNCTION("""COMPUTED_VALUE"""),1)</f>
        <v>1</v>
      </c>
      <c r="H55" s="64">
        <f ca="1">IFERROR(__xludf.DUMMYFUNCTION("""COMPUTED_VALUE"""),0)</f>
        <v>0</v>
      </c>
      <c r="I55" s="64">
        <f ca="1">IFERROR(__xludf.DUMMYFUNCTION("""COMPUTED_VALUE"""),20)</f>
        <v>20</v>
      </c>
      <c r="J55" s="64" t="str">
        <f ca="1">IFERROR(__xludf.DUMMYFUNCTION("""COMPUTED_VALUE"""),"No Plant Food effect.")</f>
        <v>No Plant Food effect.</v>
      </c>
      <c r="K55" s="64"/>
      <c r="L55" s="64"/>
      <c r="M55" s="64" t="b">
        <f ca="1">IFERROR(__xludf.DUMMYFUNCTION("""COMPUTED_VALUE"""),TRUE)</f>
        <v>1</v>
      </c>
      <c r="N55" s="64" t="b">
        <f ca="1">IFERROR(__xludf.DUMMYFUNCTION("""COMPUTED_VALUE"""),TRUE)</f>
        <v>1</v>
      </c>
      <c r="O55" s="64">
        <f ca="1">IFERROR(__xludf.DUMMYFUNCTION("""COMPUTED_VALUE"""),0)</f>
        <v>0</v>
      </c>
      <c r="P55" s="64" t="str">
        <f ca="1">IFERROR(__xludf.DUMMYFUNCTION("""COMPUTED_VALUE"""),"Common")</f>
        <v>Common</v>
      </c>
      <c r="Q55" s="64"/>
      <c r="R55" s="64" t="str">
        <f ca="1">IFERROR(__xludf.DUMMYFUNCTION("""COMPUTED_VALUE"""),"Root")</f>
        <v>Root</v>
      </c>
      <c r="S55" s="64" t="str">
        <f ca="1">IFERROR(__xludf.DUMMYFUNCTION("""COMPUTED_VALUE"""),"Natural")</f>
        <v>Natural</v>
      </c>
      <c r="T55" s="64" t="str">
        <f ca="1">IFERROR(__xludf.DUMMYFUNCTION("""COMPUTED_VALUE"""),"None")</f>
        <v>None</v>
      </c>
      <c r="U55" s="64" t="str">
        <f ca="1">IFERROR(__xludf.DUMMYFUNCTION("""COMPUTED_VALUE"""),"None")</f>
        <v>None</v>
      </c>
      <c r="V55" s="64" t="str">
        <f ca="1">IFERROR(__xludf.DUMMYFUNCTION("""COMPUTED_VALUE"""),"intensivecarrot")</f>
        <v>intensivecarrot</v>
      </c>
      <c r="W55" s="64" t="str">
        <f ca="1">IFERROR(__xludf.DUMMYFUNCTION("""COMPUTED_VALUE"""),"Support")</f>
        <v>Support</v>
      </c>
      <c r="X55" s="64" t="str">
        <f ca="1">IFERROR(__xludf.DUMMYFUNCTION("""COMPUTED_VALUE"""),"PvZ 2, PvZ 2 Chinease")</f>
        <v>PvZ 2, PvZ 2 Chinease</v>
      </c>
      <c r="Y55" s="65" t="str">
        <f ca="1">IFERROR(__xludf.DUMMYFUNCTION("""COMPUTED_VALUE"""),"https://static.wikia.nocookie.net/plantsvszombies/images/9/93/Intensive_Carrot2.png/revision/latest?cb=20150919111412")</f>
        <v>https://static.wikia.nocookie.net/plantsvszombies/images/9/93/Intensive_Carrot2.png/revision/latest?cb=20150919111412</v>
      </c>
    </row>
    <row r="56" spans="1:25" x14ac:dyDescent="0.2">
      <c r="A56" s="64">
        <f ca="1">IFERROR(__xludf.DUMMYFUNCTION("""COMPUTED_VALUE"""),55)</f>
        <v>55</v>
      </c>
      <c r="B56" s="64" t="str">
        <f ca="1">IFERROR(__xludf.DUMMYFUNCTION("""COMPUTED_VALUE"""),"Primal Peashooter")</f>
        <v>Primal Peashooter</v>
      </c>
      <c r="C56" s="64" t="str">
        <f ca="1">IFERROR(__xludf.DUMMYFUNCTION("""COMPUTED_VALUE"""),"Disparervilha Primitiva")</f>
        <v>Disparervilha Primitiva</v>
      </c>
      <c r="D56" s="64" t="str">
        <f ca="1">IFERROR(__xludf.DUMMYFUNCTION("""COMPUTED_VALUE"""),"Dispara")</f>
        <v>Dispara</v>
      </c>
      <c r="E56" s="64" t="str">
        <f ca="1">IFERROR(__xludf.DUMMYFUNCTION("""COMPUTED_VALUE"""),"Dispara uma ervilha petrificada contra os zumbis, essa ervilha retrocede o zumbi.")</f>
        <v>Dispara uma ervilha petrificada contra os zumbis, essa ervilha retrocede o zumbi.</v>
      </c>
      <c r="F56" s="64">
        <f ca="1">IFERROR(__xludf.DUMMYFUNCTION("""COMPUTED_VALUE"""),175)</f>
        <v>175</v>
      </c>
      <c r="G56" s="64">
        <f ca="1">IFERROR(__xludf.DUMMYFUNCTION("""COMPUTED_VALUE"""),300)</f>
        <v>300</v>
      </c>
      <c r="H56" s="64">
        <f ca="1">IFERROR(__xludf.DUMMYFUNCTION("""COMPUTED_VALUE"""),50)</f>
        <v>50</v>
      </c>
      <c r="I56" s="64">
        <f ca="1">IFERROR(__xludf.DUMMYFUNCTION("""COMPUTED_VALUE"""),5)</f>
        <v>5</v>
      </c>
      <c r="J56" s="64" t="str">
        <f ca="1">IFERROR(__xludf.DUMMYFUNCTION("""COMPUTED_VALUE"""),"Shoots several peas that can knock back zombies.")</f>
        <v>Shoots several peas that can knock back zombies.</v>
      </c>
      <c r="K56" s="64"/>
      <c r="L56" s="64" t="str">
        <f ca="1">IFERROR(__xludf.DUMMYFUNCTION("""COMPUTED_VALUE"""),"Special - Rock-like peas occasionally knock zombies back")</f>
        <v>Special - Rock-like peas occasionally knock zombies back</v>
      </c>
      <c r="M56" s="64" t="b">
        <f ca="1">IFERROR(__xludf.DUMMYFUNCTION("""COMPUTED_VALUE"""),FALSE)</f>
        <v>0</v>
      </c>
      <c r="N56" s="64" t="b">
        <f ca="1">IFERROR(__xludf.DUMMYFUNCTION("""COMPUTED_VALUE"""),FALSE)</f>
        <v>0</v>
      </c>
      <c r="O56" s="64">
        <f ca="1">IFERROR(__xludf.DUMMYFUNCTION("""COMPUTED_VALUE"""),0)</f>
        <v>0</v>
      </c>
      <c r="P56" s="64" t="str">
        <f ca="1">IFERROR(__xludf.DUMMYFUNCTION("""COMPUTED_VALUE"""),"Uncommon")</f>
        <v>Uncommon</v>
      </c>
      <c r="Q56" s="64" t="str">
        <f ca="1">IFERROR(__xludf.DUMMYFUNCTION("""COMPUTED_VALUE"""),"primal")</f>
        <v>primal</v>
      </c>
      <c r="R56" s="64" t="str">
        <f ca="1">IFERROR(__xludf.DUMMYFUNCTION("""COMPUTED_VALUE"""),"Pea")</f>
        <v>Pea</v>
      </c>
      <c r="S56" s="64" t="str">
        <f ca="1">IFERROR(__xludf.DUMMYFUNCTION("""COMPUTED_VALUE"""),"Natural")</f>
        <v>Natural</v>
      </c>
      <c r="T56" s="64" t="str">
        <f ca="1">IFERROR(__xludf.DUMMYFUNCTION("""COMPUTED_VALUE"""),"None")</f>
        <v>None</v>
      </c>
      <c r="U56" s="64" t="str">
        <f ca="1">IFERROR(__xludf.DUMMYFUNCTION("""COMPUTED_VALUE"""),"None")</f>
        <v>None</v>
      </c>
      <c r="V56" s="64" t="str">
        <f ca="1">IFERROR(__xludf.DUMMYFUNCTION("""COMPUTED_VALUE"""),"primalpeashooter")</f>
        <v>primalpeashooter</v>
      </c>
      <c r="W56" s="64" t="str">
        <f ca="1">IFERROR(__xludf.DUMMYFUNCTION("""COMPUTED_VALUE"""),"Ranged")</f>
        <v>Ranged</v>
      </c>
      <c r="X56" s="64" t="str">
        <f ca="1">IFERROR(__xludf.DUMMYFUNCTION("""COMPUTED_VALUE"""),"PvZ 2, PvZ 2 Chinease, PvZ Heroes")</f>
        <v>PvZ 2, PvZ 2 Chinease, PvZ Heroes</v>
      </c>
      <c r="Y56" s="65" t="str">
        <f ca="1">IFERROR(__xludf.DUMMYFUNCTION("""COMPUTED_VALUE"""),"https://static.wikia.nocookie.net/plantsvszombies/images/b/b6/Primal_Peashooter2.png/revision/latest?cb=20160831064137")</f>
        <v>https://static.wikia.nocookie.net/plantsvszombies/images/b/b6/Primal_Peashooter2.png/revision/latest?cb=20160831064137</v>
      </c>
    </row>
    <row r="57" spans="1:25" x14ac:dyDescent="0.2">
      <c r="A57" s="64">
        <f ca="1">IFERROR(__xludf.DUMMYFUNCTION("""COMPUTED_VALUE"""),56)</f>
        <v>56</v>
      </c>
      <c r="B57" s="64" t="str">
        <f ca="1">IFERROR(__xludf.DUMMYFUNCTION("""COMPUTED_VALUE"""),"Primal Wall-nut")</f>
        <v>Primal Wall-nut</v>
      </c>
      <c r="C57" s="64" t="str">
        <f ca="1">IFERROR(__xludf.DUMMYFUNCTION("""COMPUTED_VALUE"""),"Noz-muralha Primitiva")</f>
        <v>Noz-muralha Primitiva</v>
      </c>
      <c r="D57" s="64" t="str">
        <f ca="1">IFERROR(__xludf.DUMMYFUNCTION("""COMPUTED_VALUE"""),"Endurecida")</f>
        <v>Endurecida</v>
      </c>
      <c r="E57" s="64" t="str">
        <f ca="1">IFERROR(__xludf.DUMMYFUNCTION("""COMPUTED_VALUE"""),"Fornece uma proteção elevada para as plantas.")</f>
        <v>Fornece uma proteção elevada para as plantas.</v>
      </c>
      <c r="F57" s="64">
        <f ca="1">IFERROR(__xludf.DUMMYFUNCTION("""COMPUTED_VALUE"""),75)</f>
        <v>75</v>
      </c>
      <c r="G57" s="64">
        <f ca="1">IFERROR(__xludf.DUMMYFUNCTION("""COMPUTED_VALUE"""),4000)</f>
        <v>4000</v>
      </c>
      <c r="H57" s="64">
        <f ca="1">IFERROR(__xludf.DUMMYFUNCTION("""COMPUTED_VALUE"""),0)</f>
        <v>0</v>
      </c>
      <c r="I57" s="64">
        <f ca="1">IFERROR(__xludf.DUMMYFUNCTION("""COMPUTED_VALUE"""),5)</f>
        <v>5</v>
      </c>
      <c r="J57" s="64" t="str">
        <f ca="1">IFERROR(__xludf.DUMMYFUNCTION("""COMPUTED_VALUE"""),"Fully heals itself and gains a thick rock armor.")</f>
        <v>Fully heals itself and gains a thick rock armor.</v>
      </c>
      <c r="K57" s="64"/>
      <c r="L57" s="64"/>
      <c r="M57" s="64" t="b">
        <f ca="1">IFERROR(__xludf.DUMMYFUNCTION("""COMPUTED_VALUE"""),FALSE)</f>
        <v>0</v>
      </c>
      <c r="N57" s="64" t="b">
        <f ca="1">IFERROR(__xludf.DUMMYFUNCTION("""COMPUTED_VALUE"""),FALSE)</f>
        <v>0</v>
      </c>
      <c r="O57" s="64">
        <f ca="1">IFERROR(__xludf.DUMMYFUNCTION("""COMPUTED_VALUE"""),0)</f>
        <v>0</v>
      </c>
      <c r="P57" s="64" t="str">
        <f ca="1">IFERROR(__xludf.DUMMYFUNCTION("""COMPUTED_VALUE"""),"Uncommon")</f>
        <v>Uncommon</v>
      </c>
      <c r="Q57" s="64" t="str">
        <f ca="1">IFERROR(__xludf.DUMMYFUNCTION("""COMPUTED_VALUE"""),"primal")</f>
        <v>primal</v>
      </c>
      <c r="R57" s="64" t="str">
        <f ca="1">IFERROR(__xludf.DUMMYFUNCTION("""COMPUTED_VALUE"""),"Nut")</f>
        <v>Nut</v>
      </c>
      <c r="S57" s="64" t="str">
        <f ca="1">IFERROR(__xludf.DUMMYFUNCTION("""COMPUTED_VALUE"""),"Natural")</f>
        <v>Natural</v>
      </c>
      <c r="T57" s="64" t="str">
        <f ca="1">IFERROR(__xludf.DUMMYFUNCTION("""COMPUTED_VALUE"""),"None")</f>
        <v>None</v>
      </c>
      <c r="U57" s="64" t="str">
        <f ca="1">IFERROR(__xludf.DUMMYFUNCTION("""COMPUTED_VALUE"""),"None")</f>
        <v>None</v>
      </c>
      <c r="V57" s="64" t="str">
        <f ca="1">IFERROR(__xludf.DUMMYFUNCTION("""COMPUTED_VALUE"""),"primalwallnut")</f>
        <v>primalwallnut</v>
      </c>
      <c r="W57" s="64" t="str">
        <f ca="1">IFERROR(__xludf.DUMMYFUNCTION("""COMPUTED_VALUE"""),"Tough")</f>
        <v>Tough</v>
      </c>
      <c r="X57" s="64" t="str">
        <f ca="1">IFERROR(__xludf.DUMMYFUNCTION("""COMPUTED_VALUE"""),"PvZ 2, PvZ 2 Chinease, PvZ Heroes")</f>
        <v>PvZ 2, PvZ 2 Chinease, PvZ Heroes</v>
      </c>
      <c r="Y57" s="65" t="str">
        <f ca="1">IFERROR(__xludf.DUMMYFUNCTION("""COMPUTED_VALUE"""),"https://static.wikia.nocookie.net/plantsvszombies/images/c/cf/Primal_Wall-nut2.png/revision/latest?cb=20160831064408")</f>
        <v>https://static.wikia.nocookie.net/plantsvszombies/images/c/cf/Primal_Wall-nut2.png/revision/latest?cb=20160831064408</v>
      </c>
    </row>
    <row r="58" spans="1:25" x14ac:dyDescent="0.2">
      <c r="A58" s="64">
        <f ca="1">IFERROR(__xludf.DUMMYFUNCTION("""COMPUTED_VALUE"""),57)</f>
        <v>57</v>
      </c>
      <c r="B58" s="64" t="str">
        <f ca="1">IFERROR(__xludf.DUMMYFUNCTION("""COMPUTED_VALUE"""),"Perfume-shroom")</f>
        <v>Perfume-shroom</v>
      </c>
      <c r="C58" s="64" t="str">
        <f ca="1">IFERROR(__xludf.DUMMYFUNCTION("""COMPUTED_VALUE"""),"Perfugumelo")</f>
        <v>Perfugumelo</v>
      </c>
      <c r="D58" s="64" t="str">
        <f ca="1">IFERROR(__xludf.DUMMYFUNCTION("""COMPUTED_VALUE"""),"Envenenada")</f>
        <v>Envenenada</v>
      </c>
      <c r="E58" s="64" t="str">
        <f ca="1">IFERROR(__xludf.DUMMYFUNCTION("""COMPUTED_VALUE"""),"Muda a lealdade de dinossauros.")</f>
        <v>Muda a lealdade de dinossauros.</v>
      </c>
      <c r="F58" s="64">
        <f ca="1">IFERROR(__xludf.DUMMYFUNCTION("""COMPUTED_VALUE"""),150)</f>
        <v>150</v>
      </c>
      <c r="G58" s="64">
        <f ca="1">IFERROR(__xludf.DUMMYFUNCTION("""COMPUTED_VALUE"""),1)</f>
        <v>1</v>
      </c>
      <c r="H58" s="64">
        <f ca="1">IFERROR(__xludf.DUMMYFUNCTION("""COMPUTED_VALUE"""),0)</f>
        <v>0</v>
      </c>
      <c r="I58" s="64">
        <f ca="1">IFERROR(__xludf.DUMMYFUNCTION("""COMPUTED_VALUE"""),30)</f>
        <v>30</v>
      </c>
      <c r="J58" s="64" t="str">
        <f ca="1">IFERROR(__xludf.DUMMYFUNCTION("""COMPUTED_VALUE"""),"No Plant Food effect.")</f>
        <v>No Plant Food effect.</v>
      </c>
      <c r="K58" s="64" t="str">
        <f ca="1">IFERROR(__xludf.DUMMYFUNCTION("""COMPUTED_VALUE"""),"Affects all dinosaurs in a lane")</f>
        <v>Affects all dinosaurs in a lane</v>
      </c>
      <c r="L58" s="64"/>
      <c r="M58" s="64" t="b">
        <f ca="1">IFERROR(__xludf.DUMMYFUNCTION("""COMPUTED_VALUE"""),TRUE)</f>
        <v>1</v>
      </c>
      <c r="N58" s="64" t="b">
        <f ca="1">IFERROR(__xludf.DUMMYFUNCTION("""COMPUTED_VALUE"""),TRUE)</f>
        <v>1</v>
      </c>
      <c r="O58" s="64">
        <f ca="1">IFERROR(__xludf.DUMMYFUNCTION("""COMPUTED_VALUE"""),0)</f>
        <v>0</v>
      </c>
      <c r="P58" s="64" t="str">
        <f ca="1">IFERROR(__xludf.DUMMYFUNCTION("""COMPUTED_VALUE"""),"Rare")</f>
        <v>Rare</v>
      </c>
      <c r="Q58" s="64"/>
      <c r="R58" s="64" t="str">
        <f ca="1">IFERROR(__xludf.DUMMYFUNCTION("""COMPUTED_VALUE"""),"Murshroom")</f>
        <v>Murshroom</v>
      </c>
      <c r="S58" s="64" t="str">
        <f ca="1">IFERROR(__xludf.DUMMYFUNCTION("""COMPUTED_VALUE"""),"Natural")</f>
        <v>Natural</v>
      </c>
      <c r="T58" s="64" t="str">
        <f ca="1">IFERROR(__xludf.DUMMYFUNCTION("""COMPUTED_VALUE"""),"None")</f>
        <v>None</v>
      </c>
      <c r="U58" s="64" t="str">
        <f ca="1">IFERROR(__xludf.DUMMYFUNCTION("""COMPUTED_VALUE"""),"None")</f>
        <v>None</v>
      </c>
      <c r="V58" s="64" t="str">
        <f ca="1">IFERROR(__xludf.DUMMYFUNCTION("""COMPUTED_VALUE"""),"perfumeshroom")</f>
        <v>perfumeshroom</v>
      </c>
      <c r="W58" s="64" t="str">
        <f ca="1">IFERROR(__xludf.DUMMYFUNCTION("""COMPUTED_VALUE"""),"Special")</f>
        <v>Special</v>
      </c>
      <c r="X58" s="64" t="str">
        <f ca="1">IFERROR(__xludf.DUMMYFUNCTION("""COMPUTED_VALUE"""),"PvZ 2, PvZ 2 Chinease")</f>
        <v>PvZ 2, PvZ 2 Chinease</v>
      </c>
      <c r="Y58" s="65" t="str">
        <f ca="1">IFERROR(__xludf.DUMMYFUNCTION("""COMPUTED_VALUE"""),"https://static.wikia.nocookie.net/plantsvszombies/images/f/fa/Perfume-shroom2.png/revision/latest?cb=20160831225342")</f>
        <v>https://static.wikia.nocookie.net/plantsvszombies/images/f/fa/Perfume-shroom2.png/revision/latest?cb=20160831225342</v>
      </c>
    </row>
    <row r="59" spans="1:25" x14ac:dyDescent="0.2">
      <c r="A59" s="64">
        <f ca="1">IFERROR(__xludf.DUMMYFUNCTION("""COMPUTED_VALUE"""),58)</f>
        <v>58</v>
      </c>
      <c r="B59" s="64" t="str">
        <f ca="1">IFERROR(__xludf.DUMMYFUNCTION("""COMPUTED_VALUE"""),"Primal Sunflower")</f>
        <v>Primal Sunflower</v>
      </c>
      <c r="C59" s="64" t="str">
        <f ca="1">IFERROR(__xludf.DUMMYFUNCTION("""COMPUTED_VALUE"""),"Girassol Primitivo")</f>
        <v>Girassol Primitivo</v>
      </c>
      <c r="D59" s="64" t="str">
        <f ca="1">IFERROR(__xludf.DUMMYFUNCTION("""COMPUTED_VALUE"""),"Esclarecida")</f>
        <v>Esclarecida</v>
      </c>
      <c r="E59" s="64" t="str">
        <f ca="1">IFERROR(__xludf.DUMMYFUNCTION("""COMPUTED_VALUE"""),"Gera grandes sóis adicionais.")</f>
        <v>Gera grandes sóis adicionais.</v>
      </c>
      <c r="F59" s="64">
        <f ca="1">IFERROR(__xludf.DUMMYFUNCTION("""COMPUTED_VALUE"""),75)</f>
        <v>75</v>
      </c>
      <c r="G59" s="64">
        <f ca="1">IFERROR(__xludf.DUMMYFUNCTION("""COMPUTED_VALUE"""),300)</f>
        <v>300</v>
      </c>
      <c r="H59" s="64">
        <f ca="1">IFERROR(__xludf.DUMMYFUNCTION("""COMPUTED_VALUE"""),0)</f>
        <v>0</v>
      </c>
      <c r="I59" s="64">
        <f ca="1">IFERROR(__xludf.DUMMYFUNCTION("""COMPUTED_VALUE"""),5)</f>
        <v>5</v>
      </c>
      <c r="J59" s="64" t="str">
        <f ca="1">IFERROR(__xludf.DUMMYFUNCTION("""COMPUTED_VALUE"""),"Immediately produces large amount of sun.")</f>
        <v>Immediately produces large amount of sun.</v>
      </c>
      <c r="K59" s="64"/>
      <c r="L59" s="64"/>
      <c r="M59" s="64" t="b">
        <f ca="1">IFERROR(__xludf.DUMMYFUNCTION("""COMPUTED_VALUE"""),FALSE)</f>
        <v>0</v>
      </c>
      <c r="N59" s="64" t="b">
        <f ca="1">IFERROR(__xludf.DUMMYFUNCTION("""COMPUTED_VALUE"""),FALSE)</f>
        <v>0</v>
      </c>
      <c r="O59" s="64">
        <f ca="1">IFERROR(__xludf.DUMMYFUNCTION("""COMPUTED_VALUE"""),75)</f>
        <v>75</v>
      </c>
      <c r="P59" s="64" t="str">
        <f ca="1">IFERROR(__xludf.DUMMYFUNCTION("""COMPUTED_VALUE"""),"Uncommon")</f>
        <v>Uncommon</v>
      </c>
      <c r="Q59" s="64" t="str">
        <f ca="1">IFERROR(__xludf.DUMMYFUNCTION("""COMPUTED_VALUE"""),"primal")</f>
        <v>primal</v>
      </c>
      <c r="R59" s="64" t="str">
        <f ca="1">IFERROR(__xludf.DUMMYFUNCTION("""COMPUTED_VALUE"""),"Flower")</f>
        <v>Flower</v>
      </c>
      <c r="S59" s="64" t="str">
        <f ca="1">IFERROR(__xludf.DUMMYFUNCTION("""COMPUTED_VALUE"""),"Natural")</f>
        <v>Natural</v>
      </c>
      <c r="T59" s="64" t="str">
        <f ca="1">IFERROR(__xludf.DUMMYFUNCTION("""COMPUTED_VALUE"""),"None")</f>
        <v>None</v>
      </c>
      <c r="U59" s="64" t="str">
        <f ca="1">IFERROR(__xludf.DUMMYFUNCTION("""COMPUTED_VALUE"""),"None")</f>
        <v>None</v>
      </c>
      <c r="V59" s="64" t="str">
        <f ca="1">IFERROR(__xludf.DUMMYFUNCTION("""COMPUTED_VALUE"""),"primalsunflower")</f>
        <v>primalsunflower</v>
      </c>
      <c r="W59" s="64" t="str">
        <f ca="1">IFERROR(__xludf.DUMMYFUNCTION("""COMPUTED_VALUE"""),"Sun")</f>
        <v>Sun</v>
      </c>
      <c r="X59" s="64" t="str">
        <f ca="1">IFERROR(__xludf.DUMMYFUNCTION("""COMPUTED_VALUE"""),"PvZ 2, PvZ 2 Chinease, PvZ Heroes")</f>
        <v>PvZ 2, PvZ 2 Chinease, PvZ Heroes</v>
      </c>
      <c r="Y59" s="65" t="str">
        <f ca="1">IFERROR(__xludf.DUMMYFUNCTION("""COMPUTED_VALUE"""),"https://static.wikia.nocookie.net/plantsvszombies/images/2/24/Primal_Sunflower2.png/revision/latest?cb=20160905220547")</f>
        <v>https://static.wikia.nocookie.net/plantsvszombies/images/2/24/Primal_Sunflower2.png/revision/latest?cb=20160905220547</v>
      </c>
    </row>
    <row r="60" spans="1:25" x14ac:dyDescent="0.2">
      <c r="A60" s="64">
        <f ca="1">IFERROR(__xludf.DUMMYFUNCTION("""COMPUTED_VALUE"""),59)</f>
        <v>59</v>
      </c>
      <c r="B60" s="64" t="str">
        <f ca="1">IFERROR(__xludf.DUMMYFUNCTION("""COMPUTED_VALUE"""),"Primal Potato Mine")</f>
        <v>Primal Potato Mine</v>
      </c>
      <c r="C60" s="64" t="str">
        <f ca="1">IFERROR(__xludf.DUMMYFUNCTION("""COMPUTED_VALUE"""),"Batata Mina Primitiva")</f>
        <v>Batata Mina Primitiva</v>
      </c>
      <c r="D60" s="64" t="str">
        <f ca="1">IFERROR(__xludf.DUMMYFUNCTION("""COMPUTED_VALUE"""),"Bombarda")</f>
        <v>Bombarda</v>
      </c>
      <c r="E60" s="64" t="str">
        <f ca="1">IFERROR(__xludf.DUMMYFUNCTION("""COMPUTED_VALUE"""),"Se arma e gera uma grande explosão.")</f>
        <v>Se arma e gera uma grande explosão.</v>
      </c>
      <c r="F60" s="64">
        <f ca="1">IFERROR(__xludf.DUMMYFUNCTION("""COMPUTED_VALUE"""),50)</f>
        <v>50</v>
      </c>
      <c r="G60" s="64">
        <f ca="1">IFERROR(__xludf.DUMMYFUNCTION("""COMPUTED_VALUE"""),300)</f>
        <v>300</v>
      </c>
      <c r="H60" s="64">
        <f ca="1">IFERROR(__xludf.DUMMYFUNCTION("""COMPUTED_VALUE"""),2400)</f>
        <v>2400</v>
      </c>
      <c r="I60" s="64">
        <f ca="1">IFERROR(__xludf.DUMMYFUNCTION("""COMPUTED_VALUE"""),25)</f>
        <v>25</v>
      </c>
      <c r="J60" s="64" t="str">
        <f ca="1">IFERROR(__xludf.DUMMYFUNCTION("""COMPUTED_VALUE"""),"Immediately arms and spawns multiple copies of itself.")</f>
        <v>Immediately arms and spawns multiple copies of itself.</v>
      </c>
      <c r="K60" s="64" t="str">
        <f ca="1">IFERROR(__xludf.DUMMYFUNCTION("""COMPUTED_VALUE"""),"Range affects area around it")</f>
        <v>Range affects area around it</v>
      </c>
      <c r="L60" s="64"/>
      <c r="M60" s="64" t="b">
        <f ca="1">IFERROR(__xludf.DUMMYFUNCTION("""COMPUTED_VALUE"""),TRUE)</f>
        <v>1</v>
      </c>
      <c r="N60" s="64" t="b">
        <f ca="1">IFERROR(__xludf.DUMMYFUNCTION("""COMPUTED_VALUE"""),FALSE)</f>
        <v>0</v>
      </c>
      <c r="O60" s="64">
        <f ca="1">IFERROR(__xludf.DUMMYFUNCTION("""COMPUTED_VALUE"""),0)</f>
        <v>0</v>
      </c>
      <c r="P60" s="64" t="str">
        <f ca="1">IFERROR(__xludf.DUMMYFUNCTION("""COMPUTED_VALUE"""),"Uncommon")</f>
        <v>Uncommon</v>
      </c>
      <c r="Q60" s="64" t="str">
        <f ca="1">IFERROR(__xludf.DUMMYFUNCTION("""COMPUTED_VALUE"""),"primal, area-effect, explosion")</f>
        <v>primal, area-effect, explosion</v>
      </c>
      <c r="R60" s="64" t="str">
        <f ca="1">IFERROR(__xludf.DUMMYFUNCTION("""COMPUTED_VALUE"""),"Root")</f>
        <v>Root</v>
      </c>
      <c r="S60" s="64" t="str">
        <f ca="1">IFERROR(__xludf.DUMMYFUNCTION("""COMPUTED_VALUE"""),"Natural")</f>
        <v>Natural</v>
      </c>
      <c r="T60" s="64" t="str">
        <f ca="1">IFERROR(__xludf.DUMMYFUNCTION("""COMPUTED_VALUE"""),"None")</f>
        <v>None</v>
      </c>
      <c r="U60" s="64" t="str">
        <f ca="1">IFERROR(__xludf.DUMMYFUNCTION("""COMPUTED_VALUE"""),"None")</f>
        <v>None</v>
      </c>
      <c r="V60" s="64" t="str">
        <f ca="1">IFERROR(__xludf.DUMMYFUNCTION("""COMPUTED_VALUE"""),"primalpotatomine")</f>
        <v>primalpotatomine</v>
      </c>
      <c r="W60" s="64" t="str">
        <f ca="1">IFERROR(__xludf.DUMMYFUNCTION("""COMPUTED_VALUE"""),"Special")</f>
        <v>Special</v>
      </c>
      <c r="X60" s="64" t="str">
        <f ca="1">IFERROR(__xludf.DUMMYFUNCTION("""COMPUTED_VALUE"""),"PvZ 2, PvZ 2 Chinease, PvZ Heroes")</f>
        <v>PvZ 2, PvZ 2 Chinease, PvZ Heroes</v>
      </c>
      <c r="Y60" s="65" t="str">
        <f ca="1">IFERROR(__xludf.DUMMYFUNCTION("""COMPUTED_VALUE"""),"https://static.wikia.nocookie.net/plantsvszombies/images/e/ec/Primal_Potato_Mine2.png/revision/latest?cb=20151215015144")</f>
        <v>https://static.wikia.nocookie.net/plantsvszombies/images/e/ec/Primal_Potato_Mine2.png/revision/latest?cb=20151215015144</v>
      </c>
    </row>
    <row r="61" spans="1:25" x14ac:dyDescent="0.2">
      <c r="A61" s="64">
        <f ca="1">IFERROR(__xludf.DUMMYFUNCTION("""COMPUTED_VALUE"""),60)</f>
        <v>60</v>
      </c>
      <c r="B61" s="64" t="str">
        <f ca="1">IFERROR(__xludf.DUMMYFUNCTION("""COMPUTED_VALUE"""),"Lily Pad")</f>
        <v>Lily Pad</v>
      </c>
      <c r="C61" s="64" t="str">
        <f ca="1">IFERROR(__xludf.DUMMYFUNCTION("""COMPUTED_VALUE"""),"Vitória Régea")</f>
        <v>Vitória Régea</v>
      </c>
      <c r="D61" s="64" t="str">
        <f ca="1">IFERROR(__xludf.DUMMYFUNCTION("""COMPUTED_VALUE"""),"Refrea")</f>
        <v>Refrea</v>
      </c>
      <c r="E61" s="64" t="str">
        <f ca="1">IFERROR(__xludf.DUMMYFUNCTION("""COMPUTED_VALUE"""),"Planta anfíbia. Permite que plantas sejam postas sobre a água.")</f>
        <v>Planta anfíbia. Permite que plantas sejam postas sobre a água.</v>
      </c>
      <c r="F61" s="64">
        <f ca="1">IFERROR(__xludf.DUMMYFUNCTION("""COMPUTED_VALUE"""),25)</f>
        <v>25</v>
      </c>
      <c r="G61" s="64">
        <f ca="1">IFERROR(__xludf.DUMMYFUNCTION("""COMPUTED_VALUE"""),300)</f>
        <v>300</v>
      </c>
      <c r="H61" s="64">
        <f ca="1">IFERROR(__xludf.DUMMYFUNCTION("""COMPUTED_VALUE"""),0)</f>
        <v>0</v>
      </c>
      <c r="I61" s="64">
        <f ca="1">IFERROR(__xludf.DUMMYFUNCTION("""COMPUTED_VALUE"""),5)</f>
        <v>5</v>
      </c>
      <c r="J61" s="64" t="str">
        <f ca="1">IFERROR(__xludf.DUMMYFUNCTION("""COMPUTED_VALUE"""),"Creates Lily Pads in adjacent spaces. If the adjacent space has Lily Pads- it will heal them instead.")</f>
        <v>Creates Lily Pads in adjacent spaces. If the adjacent space has Lily Pads- it will heal them instead.</v>
      </c>
      <c r="K61" s="64"/>
      <c r="L61" s="64" t="str">
        <f ca="1">IFERROR(__xludf.DUMMYFUNCTION("""COMPUTED_VALUE"""),"Usage - Can also be planted under non-aquatic plants")</f>
        <v>Usage - Can also be planted under non-aquatic plants</v>
      </c>
      <c r="M61" s="64" t="b">
        <f ca="1">IFERROR(__xludf.DUMMYFUNCTION("""COMPUTED_VALUE"""),FALSE)</f>
        <v>0</v>
      </c>
      <c r="N61" s="64" t="b">
        <f ca="1">IFERROR(__xludf.DUMMYFUNCTION("""COMPUTED_VALUE"""),FALSE)</f>
        <v>0</v>
      </c>
      <c r="O61" s="64">
        <f ca="1">IFERROR(__xludf.DUMMYFUNCTION("""COMPUTED_VALUE"""),0)</f>
        <v>0</v>
      </c>
      <c r="P61" s="64" t="str">
        <f ca="1">IFERROR(__xludf.DUMMYFUNCTION("""COMPUTED_VALUE"""),"Uncommon")</f>
        <v>Uncommon</v>
      </c>
      <c r="Q61" s="64" t="str">
        <f ca="1">IFERROR(__xludf.DUMMYFUNCTION("""COMPUTED_VALUE"""),"grounded, aquatic")</f>
        <v>grounded, aquatic</v>
      </c>
      <c r="R61" s="64" t="str">
        <f ca="1">IFERROR(__xludf.DUMMYFUNCTION("""COMPUTED_VALUE"""),"Leaf")</f>
        <v>Leaf</v>
      </c>
      <c r="S61" s="64" t="str">
        <f ca="1">IFERROR(__xludf.DUMMYFUNCTION("""COMPUTED_VALUE"""),"Natural")</f>
        <v>Natural</v>
      </c>
      <c r="T61" s="64" t="str">
        <f ca="1">IFERROR(__xludf.DUMMYFUNCTION("""COMPUTED_VALUE"""),"None")</f>
        <v>None</v>
      </c>
      <c r="U61" s="64" t="str">
        <f ca="1">IFERROR(__xludf.DUMMYFUNCTION("""COMPUTED_VALUE"""),"None")</f>
        <v>None</v>
      </c>
      <c r="V61" s="64" t="str">
        <f ca="1">IFERROR(__xludf.DUMMYFUNCTION("""COMPUTED_VALUE"""),"lilypad")</f>
        <v>lilypad</v>
      </c>
      <c r="W61" s="64" t="str">
        <f ca="1">IFERROR(__xludf.DUMMYFUNCTION("""COMPUTED_VALUE"""),"Support")</f>
        <v>Support</v>
      </c>
      <c r="X61" s="64" t="str">
        <f ca="1">IFERROR(__xludf.DUMMYFUNCTION("""COMPUTED_VALUE"""),"PvZ, PvZ 2, PvZ 2 Chinease, PvZ Heroes, PvZ 3")</f>
        <v>PvZ, PvZ 2, PvZ 2 Chinease, PvZ Heroes, PvZ 3</v>
      </c>
      <c r="Y61" s="65" t="str">
        <f ca="1">IFERROR(__xludf.DUMMYFUNCTION("""COMPUTED_VALUE"""),"https://static.wikia.nocookie.net/plantsvszombies/images/e/ec/Primal_Potato_Mine2.png/revision/latest?cb=20151215015144")</f>
        <v>https://static.wikia.nocookie.net/plantsvszombies/images/e/ec/Primal_Potato_Mine2.png/revision/latest?cb=20151215015144</v>
      </c>
    </row>
    <row r="62" spans="1:25" x14ac:dyDescent="0.2">
      <c r="A62" s="64">
        <f ca="1">IFERROR(__xludf.DUMMYFUNCTION("""COMPUTED_VALUE"""),61)</f>
        <v>61</v>
      </c>
      <c r="B62" s="64" t="str">
        <f ca="1">IFERROR(__xludf.DUMMYFUNCTION("""COMPUTED_VALUE"""),"Tangle Kelp")</f>
        <v>Tangle Kelp</v>
      </c>
      <c r="C62" s="64" t="str">
        <f ca="1">IFERROR(__xludf.DUMMYFUNCTION("""COMPUTED_VALUE"""),"Emaranhalga")</f>
        <v>Emaranhalga</v>
      </c>
      <c r="D62" s="64" t="str">
        <f ca="1">IFERROR(__xludf.DUMMYFUNCTION("""COMPUTED_VALUE"""),"Surra")</f>
        <v>Surra</v>
      </c>
      <c r="E62" s="64" t="str">
        <f ca="1">IFERROR(__xludf.DUMMYFUNCTION("""COMPUTED_VALUE"""),"Afoga o primeiro zumbi que torca-la. Só pode ser plantada na água.")</f>
        <v>Afoga o primeiro zumbi que torca-la. Só pode ser plantada na água.</v>
      </c>
      <c r="F62" s="64">
        <f ca="1">IFERROR(__xludf.DUMMYFUNCTION("""COMPUTED_VALUE"""),25)</f>
        <v>25</v>
      </c>
      <c r="G62" s="64">
        <f ca="1">IFERROR(__xludf.DUMMYFUNCTION("""COMPUTED_VALUE"""),300)</f>
        <v>300</v>
      </c>
      <c r="H62" s="64">
        <f ca="1">IFERROR(__xludf.DUMMYFUNCTION("""COMPUTED_VALUE"""),400)</f>
        <v>400</v>
      </c>
      <c r="I62" s="64">
        <f ca="1">IFERROR(__xludf.DUMMYFUNCTION("""COMPUTED_VALUE"""),20)</f>
        <v>20</v>
      </c>
      <c r="J62" s="64" t="str">
        <f ca="1">IFERROR(__xludf.DUMMYFUNCTION("""COMPUTED_VALUE"""),"Drags up to four random zombies underwater.")</f>
        <v>Drags up to four random zombies underwater.</v>
      </c>
      <c r="K62" s="64"/>
      <c r="L62" s="64"/>
      <c r="M62" s="64" t="b">
        <f ca="1">IFERROR(__xludf.DUMMYFUNCTION("""COMPUTED_VALUE"""),TRUE)</f>
        <v>1</v>
      </c>
      <c r="N62" s="64" t="b">
        <f ca="1">IFERROR(__xludf.DUMMYFUNCTION("""COMPUTED_VALUE"""),FALSE)</f>
        <v>0</v>
      </c>
      <c r="O62" s="64">
        <f ca="1">IFERROR(__xludf.DUMMYFUNCTION("""COMPUTED_VALUE"""),0)</f>
        <v>0</v>
      </c>
      <c r="P62" s="64" t="str">
        <f ca="1">IFERROR(__xludf.DUMMYFUNCTION("""COMPUTED_VALUE"""),"Uncommon")</f>
        <v>Uncommon</v>
      </c>
      <c r="Q62" s="64" t="str">
        <f ca="1">IFERROR(__xludf.DUMMYFUNCTION("""COMPUTED_VALUE"""),"aquatic")</f>
        <v>aquatic</v>
      </c>
      <c r="R62" s="64" t="str">
        <f ca="1">IFERROR(__xludf.DUMMYFUNCTION("""COMPUTED_VALUE"""),"Leaf")</f>
        <v>Leaf</v>
      </c>
      <c r="S62" s="64" t="str">
        <f ca="1">IFERROR(__xludf.DUMMYFUNCTION("""COMPUTED_VALUE"""),"Natural")</f>
        <v>Natural</v>
      </c>
      <c r="T62" s="64" t="str">
        <f ca="1">IFERROR(__xludf.DUMMYFUNCTION("""COMPUTED_VALUE"""),"None")</f>
        <v>None</v>
      </c>
      <c r="U62" s="64" t="str">
        <f ca="1">IFERROR(__xludf.DUMMYFUNCTION("""COMPUTED_VALUE"""),"None")</f>
        <v>None</v>
      </c>
      <c r="V62" s="64" t="str">
        <f ca="1">IFERROR(__xludf.DUMMYFUNCTION("""COMPUTED_VALUE"""),"tanglekelp")</f>
        <v>tanglekelp</v>
      </c>
      <c r="W62" s="64" t="str">
        <f ca="1">IFERROR(__xludf.DUMMYFUNCTION("""COMPUTED_VALUE"""),"Vanguard")</f>
        <v>Vanguard</v>
      </c>
      <c r="X62" s="64" t="str">
        <f ca="1">IFERROR(__xludf.DUMMYFUNCTION("""COMPUTED_VALUE"""),"PvZ, PvZ 2, PvZ 2 Chinease, PvZ 3")</f>
        <v>PvZ, PvZ 2, PvZ 2 Chinease, PvZ 3</v>
      </c>
      <c r="Y62" s="65" t="str">
        <f ca="1">IFERROR(__xludf.DUMMYFUNCTION("""COMPUTED_VALUE"""),"https://static.wikia.nocookie.net/plantsvszombies/images/1/1a/Tangle_Kelp2.png/revision/latest?cb=20160830234932")</f>
        <v>https://static.wikia.nocookie.net/plantsvszombies/images/1/1a/Tangle_Kelp2.png/revision/latest?cb=20160830234932</v>
      </c>
    </row>
    <row r="63" spans="1:25" x14ac:dyDescent="0.2">
      <c r="A63" s="64">
        <f ca="1">IFERROR(__xludf.DUMMYFUNCTION("""COMPUTED_VALUE"""),62)</f>
        <v>62</v>
      </c>
      <c r="B63" s="64" t="str">
        <f ca="1">IFERROR(__xludf.DUMMYFUNCTION("""COMPUTED_VALUE"""),"Bowling Bulb")</f>
        <v>Bowling Bulb</v>
      </c>
      <c r="C63" s="64" t="str">
        <f ca="1">IFERROR(__xludf.DUMMYFUNCTION("""COMPUTED_VALUE"""),"Bulboliche")</f>
        <v>Bulboliche</v>
      </c>
      <c r="D63" s="64" t="str">
        <f ca="1">IFERROR(__xludf.DUMMYFUNCTION("""COMPUTED_VALUE"""),"Dispara")</f>
        <v>Dispara</v>
      </c>
      <c r="E63" s="64" t="str">
        <f ca="1">IFERROR(__xludf.DUMMYFUNCTION("""COMPUTED_VALUE"""),"Dispara três cargas de boliche poderosas que causam cada vez mais dano.")</f>
        <v>Dispara três cargas de boliche poderosas que causam cada vez mais dano.</v>
      </c>
      <c r="F63" s="64">
        <f ca="1">IFERROR(__xludf.DUMMYFUNCTION("""COMPUTED_VALUE"""),200)</f>
        <v>200</v>
      </c>
      <c r="G63" s="64">
        <f ca="1">IFERROR(__xludf.DUMMYFUNCTION("""COMPUTED_VALUE"""),300)</f>
        <v>300</v>
      </c>
      <c r="H63" s="64">
        <f ca="1">IFERROR(__xludf.DUMMYFUNCTION("""COMPUTED_VALUE"""),40)</f>
        <v>40</v>
      </c>
      <c r="I63" s="64">
        <f ca="1">IFERROR(__xludf.DUMMYFUNCTION("""COMPUTED_VALUE"""),5)</f>
        <v>5</v>
      </c>
      <c r="J63" s="64" t="str">
        <f ca="1">IFERROR(__xludf.DUMMYFUNCTION("""COMPUTED_VALUE"""),"Shoots three charged explosive bulbs at zombies, dealing heavy damage. Waits until zombies appear on the lawn before shooting.")</f>
        <v>Shoots three charged explosive bulbs at zombies, dealing heavy damage. Waits until zombies appear on the lawn before shooting.</v>
      </c>
      <c r="K63" s="64" t="str">
        <f ca="1">IFERROR(__xludf.DUMMYFUNCTION("""COMPUTED_VALUE"""),"Larger bulbs do more damage")</f>
        <v>Larger bulbs do more damage</v>
      </c>
      <c r="L63" s="64"/>
      <c r="M63" s="64" t="b">
        <f ca="1">IFERROR(__xludf.DUMMYFUNCTION("""COMPUTED_VALUE"""),FALSE)</f>
        <v>0</v>
      </c>
      <c r="N63" s="64" t="b">
        <f ca="1">IFERROR(__xludf.DUMMYFUNCTION("""COMPUTED_VALUE"""),FALSE)</f>
        <v>0</v>
      </c>
      <c r="O63" s="64">
        <f ca="1">IFERROR(__xludf.DUMMYFUNCTION("""COMPUTED_VALUE"""),0)</f>
        <v>0</v>
      </c>
      <c r="P63" s="64" t="str">
        <f ca="1">IFERROR(__xludf.DUMMYFUNCTION("""COMPUTED_VALUE"""),"Uncommon")</f>
        <v>Uncommon</v>
      </c>
      <c r="Q63" s="64"/>
      <c r="R63" s="64" t="str">
        <f ca="1">IFERROR(__xludf.DUMMYFUNCTION("""COMPUTED_VALUE"""),"Root")</f>
        <v>Root</v>
      </c>
      <c r="S63" s="64" t="str">
        <f ca="1">IFERROR(__xludf.DUMMYFUNCTION("""COMPUTED_VALUE"""),"Natural")</f>
        <v>Natural</v>
      </c>
      <c r="T63" s="64" t="str">
        <f ca="1">IFERROR(__xludf.DUMMYFUNCTION("""COMPUTED_VALUE"""),"None")</f>
        <v>None</v>
      </c>
      <c r="U63" s="64" t="str">
        <f ca="1">IFERROR(__xludf.DUMMYFUNCTION("""COMPUTED_VALUE"""),"180")</f>
        <v>180</v>
      </c>
      <c r="V63" s="64" t="str">
        <f ca="1">IFERROR(__xludf.DUMMYFUNCTION("""COMPUTED_VALUE"""),"bowlingbulb")</f>
        <v>bowlingbulb</v>
      </c>
      <c r="W63" s="64" t="str">
        <f ca="1">IFERROR(__xludf.DUMMYFUNCTION("""COMPUTED_VALUE"""),"Ranged")</f>
        <v>Ranged</v>
      </c>
      <c r="X63" s="64" t="str">
        <f ca="1">IFERROR(__xludf.DUMMYFUNCTION("""COMPUTED_VALUE"""),"PvZ 2, PvZ 2 Chinease")</f>
        <v>PvZ 2, PvZ 2 Chinease</v>
      </c>
      <c r="Y63" s="65" t="str">
        <f ca="1">IFERROR(__xludf.DUMMYFUNCTION("""COMPUTED_VALUE"""),"https://static.wikia.nocookie.net/plantsvszombies/images/e/ee/Bowling_Bulb2.png/revision/latest?cb=20200527202318")</f>
        <v>https://static.wikia.nocookie.net/plantsvszombies/images/e/ee/Bowling_Bulb2.png/revision/latest?cb=20200527202318</v>
      </c>
    </row>
    <row r="64" spans="1:25" x14ac:dyDescent="0.2">
      <c r="A64" s="64">
        <f ca="1">IFERROR(__xludf.DUMMYFUNCTION("""COMPUTED_VALUE"""),63)</f>
        <v>63</v>
      </c>
      <c r="B64" s="64" t="str">
        <f ca="1">IFERROR(__xludf.DUMMYFUNCTION("""COMPUTED_VALUE"""),"Guacodile")</f>
        <v>Guacodile</v>
      </c>
      <c r="C64" s="64" t="str">
        <f ca="1">IFERROR(__xludf.DUMMYFUNCTION("""COMPUTED_VALUE"""),"Guacodilo")</f>
        <v>Guacodilo</v>
      </c>
      <c r="D64" s="64" t="str">
        <f ca="1">IFERROR(__xludf.DUMMYFUNCTION("""COMPUTED_VALUE"""),"Surra")</f>
        <v>Surra</v>
      </c>
      <c r="E64" s="64" t="str">
        <f ca="1">IFERROR(__xludf.DUMMYFUNCTION("""COMPUTED_VALUE"""),"Planta anfíbia. Dispara sementes enquanto na terra, além disso, caso um zumbi se aproxime, ele avança em um poderoso ataque.")</f>
        <v>Planta anfíbia. Dispara sementes enquanto na terra, além disso, caso um zumbi se aproxime, ele avança em um poderoso ataque.</v>
      </c>
      <c r="F64" s="64">
        <f ca="1">IFERROR(__xludf.DUMMYFUNCTION("""COMPUTED_VALUE"""),125)</f>
        <v>125</v>
      </c>
      <c r="G64" s="64">
        <f ca="1">IFERROR(__xludf.DUMMYFUNCTION("""COMPUTED_VALUE"""),300)</f>
        <v>300</v>
      </c>
      <c r="H64" s="64">
        <f ca="1">IFERROR(__xludf.DUMMYFUNCTION("""COMPUTED_VALUE"""),20)</f>
        <v>20</v>
      </c>
      <c r="I64" s="64">
        <f ca="1">IFERROR(__xludf.DUMMYFUNCTION("""COMPUTED_VALUE"""),5)</f>
        <v>5</v>
      </c>
      <c r="J64" s="64" t="str">
        <f ca="1">IFERROR(__xludf.DUMMYFUNCTION("""COMPUTED_VALUE"""),"Knock back zombies near it and releases two rushing Guacodiles that deal damage down its row.")</f>
        <v>Knock back zombies near it and releases two rushing Guacodiles that deal damage down its row.</v>
      </c>
      <c r="K64" s="64" t="str">
        <f ca="1">IFERROR(__xludf.DUMMYFUNCTION("""COMPUTED_VALUE"""),"Plant is lost after rushing attack")</f>
        <v>Plant is lost after rushing attack</v>
      </c>
      <c r="L64" s="64" t="str">
        <f ca="1">IFERROR(__xludf.DUMMYFUNCTION("""COMPUTED_VALUE"""),"Special - Can be planted on water
")</f>
        <v xml:space="preserve">Special - Can be planted on water
</v>
      </c>
      <c r="M64" s="64" t="b">
        <f ca="1">IFERROR(__xludf.DUMMYFUNCTION("""COMPUTED_VALUE"""),FALSE)</f>
        <v>0</v>
      </c>
      <c r="N64" s="64" t="b">
        <f ca="1">IFERROR(__xludf.DUMMYFUNCTION("""COMPUTED_VALUE"""),FALSE)</f>
        <v>0</v>
      </c>
      <c r="O64" s="64">
        <f ca="1">IFERROR(__xludf.DUMMYFUNCTION("""COMPUTED_VALUE"""),0)</f>
        <v>0</v>
      </c>
      <c r="P64" s="64" t="str">
        <f ca="1">IFERROR(__xludf.DUMMYFUNCTION("""COMPUTED_VALUE"""),"Common")</f>
        <v>Common</v>
      </c>
      <c r="Q64" s="64" t="str">
        <f ca="1">IFERROR(__xludf.DUMMYFUNCTION("""COMPUTED_VALUE"""),"aquatic")</f>
        <v>aquatic</v>
      </c>
      <c r="R64" s="64" t="str">
        <f ca="1">IFERROR(__xludf.DUMMYFUNCTION("""COMPUTED_VALUE"""),"Fruit")</f>
        <v>Fruit</v>
      </c>
      <c r="S64" s="64" t="str">
        <f ca="1">IFERROR(__xludf.DUMMYFUNCTION("""COMPUTED_VALUE"""),"Natural")</f>
        <v>Natural</v>
      </c>
      <c r="T64" s="64" t="str">
        <f ca="1">IFERROR(__xludf.DUMMYFUNCTION("""COMPUTED_VALUE"""),"None")</f>
        <v>None</v>
      </c>
      <c r="U64" s="64" t="str">
        <f ca="1">IFERROR(__xludf.DUMMYFUNCTION("""COMPUTED_VALUE"""),"150")</f>
        <v>150</v>
      </c>
      <c r="V64" s="64" t="str">
        <f ca="1">IFERROR(__xludf.DUMMYFUNCTION("""COMPUTED_VALUE"""),"guacodile")</f>
        <v>guacodile</v>
      </c>
      <c r="W64" s="64" t="str">
        <f ca="1">IFERROR(__xludf.DUMMYFUNCTION("""COMPUTED_VALUE"""),"Ranged")</f>
        <v>Ranged</v>
      </c>
      <c r="X64" s="64" t="str">
        <f ca="1">IFERROR(__xludf.DUMMYFUNCTION("""COMPUTED_VALUE"""),"PvZ 2, PvZ 2 Chinease, PvZ Heroes")</f>
        <v>PvZ 2, PvZ 2 Chinease, PvZ Heroes</v>
      </c>
      <c r="Y64" s="65" t="str">
        <f ca="1">IFERROR(__xludf.DUMMYFUNCTION("""COMPUTED_VALUE"""),"https://static.wikia.nocookie.net/plantsvszombies/images/9/96/Guacodile2.png/revision/latest?cb=20160818024252")</f>
        <v>https://static.wikia.nocookie.net/plantsvszombies/images/9/96/Guacodile2.png/revision/latest?cb=20160818024252</v>
      </c>
    </row>
    <row r="65" spans="1:25" x14ac:dyDescent="0.2">
      <c r="A65" s="64">
        <f ca="1">IFERROR(__xludf.DUMMYFUNCTION("""COMPUTED_VALUE"""),64)</f>
        <v>64</v>
      </c>
      <c r="B65" s="64" t="str">
        <f ca="1">IFERROR(__xludf.DUMMYFUNCTION("""COMPUTED_VALUE"""),"Banana Launcher")</f>
        <v>Banana Launcher</v>
      </c>
      <c r="C65" s="64" t="str">
        <f ca="1">IFERROR(__xludf.DUMMYFUNCTION("""COMPUTED_VALUE"""),"Lança-bananas")</f>
        <v>Lança-bananas</v>
      </c>
      <c r="D65" s="64" t="str">
        <f ca="1">IFERROR(__xludf.DUMMYFUNCTION("""COMPUTED_VALUE"""),"Arma")</f>
        <v>Arma</v>
      </c>
      <c r="E65" s="64" t="str">
        <f ca="1">IFERROR(__xludf.DUMMYFUNCTION("""COMPUTED_VALUE"""),"Dispara um poderoso missel banana, entrando em modo de recarga.")</f>
        <v>Dispara um poderoso missel banana, entrando em modo de recarga.</v>
      </c>
      <c r="F65" s="64">
        <f ca="1">IFERROR(__xludf.DUMMYFUNCTION("""COMPUTED_VALUE"""),500)</f>
        <v>500</v>
      </c>
      <c r="G65" s="64">
        <f ca="1">IFERROR(__xludf.DUMMYFUNCTION("""COMPUTED_VALUE"""),300)</f>
        <v>300</v>
      </c>
      <c r="H65" s="64">
        <f ca="1">IFERROR(__xludf.DUMMYFUNCTION("""COMPUTED_VALUE"""),1200)</f>
        <v>1200</v>
      </c>
      <c r="I65" s="64">
        <f ca="1">IFERROR(__xludf.DUMMYFUNCTION("""COMPUTED_VALUE"""),5)</f>
        <v>5</v>
      </c>
      <c r="J65" s="64" t="str">
        <f ca="1">IFERROR(__xludf.DUMMYFUNCTION("""COMPUTED_VALUE"""),"Launches four explosive bananas that target random zombies.")</f>
        <v>Launches four explosive bananas that target random zombies.</v>
      </c>
      <c r="K65" s="64" t="str">
        <f ca="1">IFERROR(__xludf.DUMMYFUNCTION("""COMPUTED_VALUE"""),"Tap to arm, tap on target tile to fire anywhere on lawn")</f>
        <v>Tap to arm, tap on target tile to fire anywhere on lawn</v>
      </c>
      <c r="L65" s="64" t="str">
        <f ca="1">IFERROR(__xludf.DUMMYFUNCTION("""COMPUTED_VALUE"""),"Special - On impact, explodes in small area")</f>
        <v>Special - On impact, explodes in small area</v>
      </c>
      <c r="M65" s="64" t="b">
        <f ca="1">IFERROR(__xludf.DUMMYFUNCTION("""COMPUTED_VALUE"""),FALSE)</f>
        <v>0</v>
      </c>
      <c r="N65" s="64" t="b">
        <f ca="1">IFERROR(__xludf.DUMMYFUNCTION("""COMPUTED_VALUE"""),FALSE)</f>
        <v>0</v>
      </c>
      <c r="O65" s="64">
        <f ca="1">IFERROR(__xludf.DUMMYFUNCTION("""COMPUTED_VALUE"""),0)</f>
        <v>0</v>
      </c>
      <c r="P65" s="64" t="str">
        <f ca="1">IFERROR(__xludf.DUMMYFUNCTION("""COMPUTED_VALUE"""),"Uncommon")</f>
        <v>Uncommon</v>
      </c>
      <c r="Q65" s="64" t="str">
        <f ca="1">IFERROR(__xludf.DUMMYFUNCTION("""COMPUTED_VALUE"""),"area-effect")</f>
        <v>area-effect</v>
      </c>
      <c r="R65" s="64" t="str">
        <f ca="1">IFERROR(__xludf.DUMMYFUNCTION("""COMPUTED_VALUE"""),"Fruit")</f>
        <v>Fruit</v>
      </c>
      <c r="S65" s="64" t="str">
        <f ca="1">IFERROR(__xludf.DUMMYFUNCTION("""COMPUTED_VALUE"""),"Natural")</f>
        <v>Natural</v>
      </c>
      <c r="T65" s="64" t="str">
        <f ca="1">IFERROR(__xludf.DUMMYFUNCTION("""COMPUTED_VALUE"""),"None")</f>
        <v>None</v>
      </c>
      <c r="U65" s="64" t="str">
        <f ca="1">IFERROR(__xludf.DUMMYFUNCTION("""COMPUTED_VALUE"""),"None")</f>
        <v>None</v>
      </c>
      <c r="V65" s="64" t="str">
        <f ca="1">IFERROR(__xludf.DUMMYFUNCTION("""COMPUTED_VALUE"""),"banana")</f>
        <v>banana</v>
      </c>
      <c r="W65" s="64" t="str">
        <f ca="1">IFERROR(__xludf.DUMMYFUNCTION("""COMPUTED_VALUE"""),"Ranged")</f>
        <v>Ranged</v>
      </c>
      <c r="X65" s="64" t="str">
        <f ca="1">IFERROR(__xludf.DUMMYFUNCTION("""COMPUTED_VALUE"""),"PvZ 2, PvZ 2 Chinease, PvZ Heroes")</f>
        <v>PvZ 2, PvZ 2 Chinease, PvZ Heroes</v>
      </c>
      <c r="Y65" s="65" t="str">
        <f ca="1">IFERROR(__xludf.DUMMYFUNCTION("""COMPUTED_VALUE"""),"https://static.wikia.nocookie.net/plantsvszombies/images/b/b7/Banana_Launcher2.png/revision/latest?cb=20160905221035")</f>
        <v>https://static.wikia.nocookie.net/plantsvszombies/images/b/b7/Banana_Launcher2.png/revision/latest?cb=20160905221035</v>
      </c>
    </row>
    <row r="66" spans="1:25" x14ac:dyDescent="0.2">
      <c r="A66" s="64">
        <f ca="1">IFERROR(__xludf.DUMMYFUNCTION("""COMPUTED_VALUE"""),65)</f>
        <v>65</v>
      </c>
      <c r="B66" s="64" t="str">
        <f ca="1">IFERROR(__xludf.DUMMYFUNCTION("""COMPUTED_VALUE"""),"Moonflower")</f>
        <v>Moonflower</v>
      </c>
      <c r="C66" s="64" t="str">
        <f ca="1">IFERROR(__xludf.DUMMYFUNCTION("""COMPUTED_VALUE"""),"Dama-da-noite")</f>
        <v>Dama-da-noite</v>
      </c>
      <c r="D66" s="64" t="str">
        <f ca="1">IFERROR(__xludf.DUMMYFUNCTION("""COMPUTED_VALUE"""),"Sombra")</f>
        <v>Sombra</v>
      </c>
      <c r="E66" s="64" t="str">
        <f ca="1">IFERROR(__xludf.DUMMYFUNCTION("""COMPUTED_VALUE"""),"Produz sóis adicionais, e energiza plantas sombrias.")</f>
        <v>Produz sóis adicionais, e energiza plantas sombrias.</v>
      </c>
      <c r="F66" s="64">
        <f ca="1">IFERROR(__xludf.DUMMYFUNCTION("""COMPUTED_VALUE"""),50)</f>
        <v>50</v>
      </c>
      <c r="G66" s="64">
        <f ca="1">IFERROR(__xludf.DUMMYFUNCTION("""COMPUTED_VALUE"""),300)</f>
        <v>300</v>
      </c>
      <c r="H66" s="64">
        <f ca="1">IFERROR(__xludf.DUMMYFUNCTION("""COMPUTED_VALUE"""),0)</f>
        <v>0</v>
      </c>
      <c r="I66" s="64">
        <f ca="1">IFERROR(__xludf.DUMMYFUNCTION("""COMPUTED_VALUE"""),10)</f>
        <v>10</v>
      </c>
      <c r="J66" s="64" t="str">
        <f ca="1">IFERROR(__xludf.DUMMYFUNCTION("""COMPUTED_VALUE"""),"Produces sun and gain a defensive shield.")</f>
        <v>Produces sun and gain a defensive shield.</v>
      </c>
      <c r="K66" s="64" t="str">
        <f ca="1">IFERROR(__xludf.DUMMYFUNCTION("""COMPUTED_VALUE"""),"Emits sun as well as additional sun for each adjacent shadow plant up to four")</f>
        <v>Emits sun as well as additional sun for each adjacent shadow plant up to four</v>
      </c>
      <c r="L66" s="64"/>
      <c r="M66" s="64" t="b">
        <f ca="1">IFERROR(__xludf.DUMMYFUNCTION("""COMPUTED_VALUE"""),FALSE)</f>
        <v>0</v>
      </c>
      <c r="N66" s="64" t="b">
        <f ca="1">IFERROR(__xludf.DUMMYFUNCTION("""COMPUTED_VALUE"""),FALSE)</f>
        <v>0</v>
      </c>
      <c r="O66" s="64">
        <f ca="1">IFERROR(__xludf.DUMMYFUNCTION("""COMPUTED_VALUE"""),75)</f>
        <v>75</v>
      </c>
      <c r="P66" s="64" t="str">
        <f ca="1">IFERROR(__xludf.DUMMYFUNCTION("""COMPUTED_VALUE"""),"Common")</f>
        <v>Common</v>
      </c>
      <c r="Q66" s="64"/>
      <c r="R66" s="64" t="str">
        <f ca="1">IFERROR(__xludf.DUMMYFUNCTION("""COMPUTED_VALUE"""),"Flower")</f>
        <v>Flower</v>
      </c>
      <c r="S66" s="64" t="str">
        <f ca="1">IFERROR(__xludf.DUMMYFUNCTION("""COMPUTED_VALUE"""),"Natural")</f>
        <v>Natural</v>
      </c>
      <c r="T66" s="64" t="str">
        <f ca="1">IFERROR(__xludf.DUMMYFUNCTION("""COMPUTED_VALUE"""),"None")</f>
        <v>None</v>
      </c>
      <c r="U66" s="64" t="str">
        <f ca="1">IFERROR(__xludf.DUMMYFUNCTION("""COMPUTED_VALUE"""),"None")</f>
        <v>None</v>
      </c>
      <c r="V66" s="64" t="str">
        <f ca="1">IFERROR(__xludf.DUMMYFUNCTION("""COMPUTED_VALUE"""),"moonflower")</f>
        <v>moonflower</v>
      </c>
      <c r="W66" s="64" t="str">
        <f ca="1">IFERROR(__xludf.DUMMYFUNCTION("""COMPUTED_VALUE"""),"Support")</f>
        <v>Support</v>
      </c>
      <c r="X66" s="64" t="str">
        <f ca="1">IFERROR(__xludf.DUMMYFUNCTION("""COMPUTED_VALUE"""),"PvZ 2, PvZ 2 Chinease")</f>
        <v>PvZ 2, PvZ 2 Chinease</v>
      </c>
      <c r="Y66" s="65" t="str">
        <f ca="1">IFERROR(__xludf.DUMMYFUNCTION("""COMPUTED_VALUE"""),"https://static.wikia.nocookie.net/plantsvszombies/images/5/55/Moonflower2.png/revision/latest?cb=20160904210356")</f>
        <v>https://static.wikia.nocookie.net/plantsvszombies/images/5/55/Moonflower2.png/revision/latest?cb=20160904210356</v>
      </c>
    </row>
    <row r="67" spans="1:25" x14ac:dyDescent="0.2">
      <c r="A67" s="64">
        <f ca="1">IFERROR(__xludf.DUMMYFUNCTION("""COMPUTED_VALUE"""),66)</f>
        <v>66</v>
      </c>
      <c r="B67" s="64" t="str">
        <f ca="1">IFERROR(__xludf.DUMMYFUNCTION("""COMPUTED_VALUE"""),"Nightshade")</f>
        <v>Nightshade</v>
      </c>
      <c r="C67" s="64" t="str">
        <f ca="1">IFERROR(__xludf.DUMMYFUNCTION("""COMPUTED_VALUE"""),"Beladona Sombria")</f>
        <v>Beladona Sombria</v>
      </c>
      <c r="D67" s="64" t="str">
        <f ca="1">IFERROR(__xludf.DUMMYFUNCTION("""COMPUTED_VALUE"""),"Sombra")</f>
        <v>Sombra</v>
      </c>
      <c r="E67" s="64" t="str">
        <f ca="1">IFERROR(__xludf.DUMMYFUNCTION("""COMPUTED_VALUE"""),"Atira poderosas petalas, que regeneram-se caso esteja energizado.")</f>
        <v>Atira poderosas petalas, que regeneram-se caso esteja energizado.</v>
      </c>
      <c r="F67" s="64">
        <f ca="1">IFERROR(__xludf.DUMMYFUNCTION("""COMPUTED_VALUE"""),75)</f>
        <v>75</v>
      </c>
      <c r="G67" s="64">
        <f ca="1">IFERROR(__xludf.DUMMYFUNCTION("""COMPUTED_VALUE"""),300)</f>
        <v>300</v>
      </c>
      <c r="H67" s="64">
        <f ca="1">IFERROR(__xludf.DUMMYFUNCTION("""COMPUTED_VALUE"""),100)</f>
        <v>100</v>
      </c>
      <c r="I67" s="64">
        <f ca="1">IFERROR(__xludf.DUMMYFUNCTION("""COMPUTED_VALUE"""),5)</f>
        <v>5</v>
      </c>
      <c r="J67" s="64" t="str">
        <f ca="1">IFERROR(__xludf.DUMMYFUNCTION("""COMPUTED_VALUE"""),"Regrows all of its leaves, then throw three large leaves at zombies. Permanently, increases its damage.")</f>
        <v>Regrows all of its leaves, then throw three large leaves at zombies. Permanently, increases its damage.</v>
      </c>
      <c r="K67" s="64"/>
      <c r="L67" s="64" t="str">
        <f ca="1">IFERROR(__xludf.DUMMYFUNCTION("""COMPUTED_VALUE"""),"Special - Hurls and regrows leaves when powered")</f>
        <v>Special - Hurls and regrows leaves when powered</v>
      </c>
      <c r="M67" s="64" t="b">
        <f ca="1">IFERROR(__xludf.DUMMYFUNCTION("""COMPUTED_VALUE"""),FALSE)</f>
        <v>0</v>
      </c>
      <c r="N67" s="64" t="b">
        <f ca="1">IFERROR(__xludf.DUMMYFUNCTION("""COMPUTED_VALUE"""),FALSE)</f>
        <v>0</v>
      </c>
      <c r="O67" s="64">
        <f ca="1">IFERROR(__xludf.DUMMYFUNCTION("""COMPUTED_VALUE"""),0)</f>
        <v>0</v>
      </c>
      <c r="P67" s="64" t="str">
        <f ca="1">IFERROR(__xludf.DUMMYFUNCTION("""COMPUTED_VALUE"""),"Common")</f>
        <v>Common</v>
      </c>
      <c r="Q67" s="64"/>
      <c r="R67" s="64" t="str">
        <f ca="1">IFERROR(__xludf.DUMMYFUNCTION("""COMPUTED_VALUE"""),"Flower")</f>
        <v>Flower</v>
      </c>
      <c r="S67" s="64" t="str">
        <f ca="1">IFERROR(__xludf.DUMMYFUNCTION("""COMPUTED_VALUE"""),"Natural")</f>
        <v>Natural</v>
      </c>
      <c r="T67" s="64" t="str">
        <f ca="1">IFERROR(__xludf.DUMMYFUNCTION("""COMPUTED_VALUE"""),"None")</f>
        <v>None</v>
      </c>
      <c r="U67" s="64" t="str">
        <f ca="1">IFERROR(__xludf.DUMMYFUNCTION("""COMPUTED_VALUE"""),"None")</f>
        <v>None</v>
      </c>
      <c r="V67" s="64" t="str">
        <f ca="1">IFERROR(__xludf.DUMMYFUNCTION("""COMPUTED_VALUE"""),"nightshade")</f>
        <v>nightshade</v>
      </c>
      <c r="W67" s="64" t="str">
        <f ca="1">IFERROR(__xludf.DUMMYFUNCTION("""COMPUTED_VALUE"""),"Ranged")</f>
        <v>Ranged</v>
      </c>
      <c r="X67" s="64" t="str">
        <f ca="1">IFERROR(__xludf.DUMMYFUNCTION("""COMPUTED_VALUE"""),"PvZ 2, PvZ 2 Chinease")</f>
        <v>PvZ 2, PvZ 2 Chinease</v>
      </c>
      <c r="Y67" s="65" t="str">
        <f ca="1">IFERROR(__xludf.DUMMYFUNCTION("""COMPUTED_VALUE"""),"https://static.wikia.nocookie.net/plantsvszombies/images/b/b6/Nightshade2.png/revision/latest?cb=20160818032951")</f>
        <v>https://static.wikia.nocookie.net/plantsvszombies/images/b/b6/Nightshade2.png/revision/latest?cb=20160818032951</v>
      </c>
    </row>
    <row r="68" spans="1:25" x14ac:dyDescent="0.2">
      <c r="A68" s="64">
        <f ca="1">IFERROR(__xludf.DUMMYFUNCTION("""COMPUTED_VALUE"""),67)</f>
        <v>67</v>
      </c>
      <c r="B68" s="64" t="str">
        <f ca="1">IFERROR(__xludf.DUMMYFUNCTION("""COMPUTED_VALUE"""),"Shadow-shroom")</f>
        <v>Shadow-shroom</v>
      </c>
      <c r="C68" s="64" t="str">
        <f ca="1">IFERROR(__xludf.DUMMYFUNCTION("""COMPUTED_VALUE"""),"Sombragumelo")</f>
        <v>Sombragumelo</v>
      </c>
      <c r="D68" s="64" t="str">
        <f ca="1">IFERROR(__xludf.DUMMYFUNCTION("""COMPUTED_VALUE"""),"Sombra")</f>
        <v>Sombra</v>
      </c>
      <c r="E68" s="64" t="str">
        <f ca="1">IFERROR(__xludf.DUMMYFUNCTION("""COMPUTED_VALUE"""),"Envenena um zumbi próximo.")</f>
        <v>Envenena um zumbi próximo.</v>
      </c>
      <c r="F68" s="64">
        <f ca="1">IFERROR(__xludf.DUMMYFUNCTION("""COMPUTED_VALUE"""),50)</f>
        <v>50</v>
      </c>
      <c r="G68" s="64">
        <f ca="1">IFERROR(__xludf.DUMMYFUNCTION("""COMPUTED_VALUE"""),1)</f>
        <v>1</v>
      </c>
      <c r="H68" s="64">
        <f ca="1">IFERROR(__xludf.DUMMYFUNCTION("""COMPUTED_VALUE"""),30)</f>
        <v>30</v>
      </c>
      <c r="I68" s="64">
        <f ca="1">IFERROR(__xludf.DUMMYFUNCTION("""COMPUTED_VALUE"""),10)</f>
        <v>10</v>
      </c>
      <c r="J68" s="64" t="str">
        <f ca="1">IFERROR(__xludf.DUMMYFUNCTION("""COMPUTED_VALUE"""),"Poisons every zombie on the lawn. If a zombie is already poison, deal heavy damage.")</f>
        <v>Poisons every zombie on the lawn. If a zombie is already poison, deal heavy damage.</v>
      </c>
      <c r="K68" s="64"/>
      <c r="L68" s="64" t="str">
        <f ca="1">IFERROR(__xludf.DUMMYFUNCTION("""COMPUTED_VALUE"""),"Special - Powered Shadow-shrooms make poisoned zombies poison other zombies")</f>
        <v>Special - Powered Shadow-shrooms make poisoned zombies poison other zombies</v>
      </c>
      <c r="M68" s="64" t="b">
        <f ca="1">IFERROR(__xludf.DUMMYFUNCTION("""COMPUTED_VALUE"""),TRUE)</f>
        <v>1</v>
      </c>
      <c r="N68" s="64" t="b">
        <f ca="1">IFERROR(__xludf.DUMMYFUNCTION("""COMPUTED_VALUE"""),FALSE)</f>
        <v>0</v>
      </c>
      <c r="O68" s="64">
        <f ca="1">IFERROR(__xludf.DUMMYFUNCTION("""COMPUTED_VALUE"""),0)</f>
        <v>0</v>
      </c>
      <c r="P68" s="64" t="str">
        <f ca="1">IFERROR(__xludf.DUMMYFUNCTION("""COMPUTED_VALUE"""),"Common")</f>
        <v>Common</v>
      </c>
      <c r="Q68" s="64" t="str">
        <f ca="1">IFERROR(__xludf.DUMMYFUNCTION("""COMPUTED_VALUE"""),"stun, poison")</f>
        <v>stun, poison</v>
      </c>
      <c r="R68" s="64" t="str">
        <f ca="1">IFERROR(__xludf.DUMMYFUNCTION("""COMPUTED_VALUE"""),"Murshroom")</f>
        <v>Murshroom</v>
      </c>
      <c r="S68" s="64" t="str">
        <f ca="1">IFERROR(__xludf.DUMMYFUNCTION("""COMPUTED_VALUE"""),"Natural")</f>
        <v>Natural</v>
      </c>
      <c r="T68" s="64" t="str">
        <f ca="1">IFERROR(__xludf.DUMMYFUNCTION("""COMPUTED_VALUE"""),"None")</f>
        <v>None</v>
      </c>
      <c r="U68" s="64" t="str">
        <f ca="1">IFERROR(__xludf.DUMMYFUNCTION("""COMPUTED_VALUE"""),"None")</f>
        <v>None</v>
      </c>
      <c r="V68" s="64" t="str">
        <f ca="1">IFERROR(__xludf.DUMMYFUNCTION("""COMPUTED_VALUE"""),"shadowshroom")</f>
        <v>shadowshroom</v>
      </c>
      <c r="W68" s="64" t="str">
        <f ca="1">IFERROR(__xludf.DUMMYFUNCTION("""COMPUTED_VALUE"""),"Special")</f>
        <v>Special</v>
      </c>
      <c r="X68" s="64" t="str">
        <f ca="1">IFERROR(__xludf.DUMMYFUNCTION("""COMPUTED_VALUE"""),"PvZ 2, PvZ 2 Chinease")</f>
        <v>PvZ 2, PvZ 2 Chinease</v>
      </c>
      <c r="Y68" s="65" t="str">
        <f ca="1">IFERROR(__xludf.DUMMYFUNCTION("""COMPUTED_VALUE"""),"https://static.wikia.nocookie.net/plantsvszombies/images/8/87/Shadow-shroom2.png/revision/latest?cb=20160904210029")</f>
        <v>https://static.wikia.nocookie.net/plantsvszombies/images/8/87/Shadow-shroom2.png/revision/latest?cb=20160904210029</v>
      </c>
    </row>
    <row r="69" spans="1:25" x14ac:dyDescent="0.2">
      <c r="A69" s="64">
        <f ca="1">IFERROR(__xludf.DUMMYFUNCTION("""COMPUTED_VALUE"""),68)</f>
        <v>68</v>
      </c>
      <c r="B69" s="64" t="str">
        <f ca="1">IFERROR(__xludf.DUMMYFUNCTION("""COMPUTED_VALUE"""),"Dusk Lobber")</f>
        <v>Dusk Lobber</v>
      </c>
      <c r="C69" s="64" t="str">
        <f ca="1">IFERROR(__xludf.DUMMYFUNCTION("""COMPUTED_VALUE"""),"Morteira")</f>
        <v>Morteira</v>
      </c>
      <c r="D69" s="64" t="str">
        <f ca="1">IFERROR(__xludf.DUMMYFUNCTION("""COMPUTED_VALUE"""),"Sombra")</f>
        <v>Sombra</v>
      </c>
      <c r="E69" s="64" t="str">
        <f ca="1">IFERROR(__xludf.DUMMYFUNCTION("""COMPUTED_VALUE"""),"Atira sementes em parábola que podem atingir outras colunas caso esteja energizado.")</f>
        <v>Atira sementes em parábola que podem atingir outras colunas caso esteja energizado.</v>
      </c>
      <c r="F69" s="64">
        <f ca="1">IFERROR(__xludf.DUMMYFUNCTION("""COMPUTED_VALUE"""),150)</f>
        <v>150</v>
      </c>
      <c r="G69" s="64">
        <f ca="1">IFERROR(__xludf.DUMMYFUNCTION("""COMPUTED_VALUE"""),300)</f>
        <v>300</v>
      </c>
      <c r="H69" s="64">
        <f ca="1">IFERROR(__xludf.DUMMYFUNCTION("""COMPUTED_VALUE"""),30)</f>
        <v>30</v>
      </c>
      <c r="I69" s="64">
        <f ca="1">IFERROR(__xludf.DUMMYFUNCTION("""COMPUTED_VALUE"""),10)</f>
        <v>10</v>
      </c>
      <c r="J69" s="64" t="str">
        <f ca="1">IFERROR(__xludf.DUMMYFUNCTION("""COMPUTED_VALUE"""),"Shoots multiple large buds that explode on impact.")</f>
        <v>Shoots multiple large buds that explode on impact.</v>
      </c>
      <c r="K69" s="64"/>
      <c r="L69" s="64" t="str">
        <f ca="1">IFERROR(__xludf.DUMMYFUNCTION("""COMPUTED_VALUE"""),"Special - Powered Dusk Lobbers lob buds down 3 lanes")</f>
        <v>Special - Powered Dusk Lobbers lob buds down 3 lanes</v>
      </c>
      <c r="M69" s="64" t="b">
        <f ca="1">IFERROR(__xludf.DUMMYFUNCTION("""COMPUTED_VALUE"""),FALSE)</f>
        <v>0</v>
      </c>
      <c r="N69" s="64" t="b">
        <f ca="1">IFERROR(__xludf.DUMMYFUNCTION("""COMPUTED_VALUE"""),FALSE)</f>
        <v>0</v>
      </c>
      <c r="O69" s="64">
        <f ca="1">IFERROR(__xludf.DUMMYFUNCTION("""COMPUTED_VALUE"""),0)</f>
        <v>0</v>
      </c>
      <c r="P69" s="64" t="str">
        <f ca="1">IFERROR(__xludf.DUMMYFUNCTION("""COMPUTED_VALUE"""),"Uncommon")</f>
        <v>Uncommon</v>
      </c>
      <c r="Q69" s="64" t="str">
        <f ca="1">IFERROR(__xludf.DUMMYFUNCTION("""COMPUTED_VALUE"""),"area-effect")</f>
        <v>area-effect</v>
      </c>
      <c r="R69" s="64" t="str">
        <f ca="1">IFERROR(__xludf.DUMMYFUNCTION("""COMPUTED_VALUE"""),"Cactus")</f>
        <v>Cactus</v>
      </c>
      <c r="S69" s="64" t="str">
        <f ca="1">IFERROR(__xludf.DUMMYFUNCTION("""COMPUTED_VALUE"""),"Natural")</f>
        <v>Natural</v>
      </c>
      <c r="T69" s="64" t="str">
        <f ca="1">IFERROR(__xludf.DUMMYFUNCTION("""COMPUTED_VALUE"""),"None")</f>
        <v>None</v>
      </c>
      <c r="U69" s="64" t="str">
        <f ca="1">IFERROR(__xludf.DUMMYFUNCTION("""COMPUTED_VALUE"""),"None")</f>
        <v>None</v>
      </c>
      <c r="V69" s="64" t="str">
        <f ca="1">IFERROR(__xludf.DUMMYFUNCTION("""COMPUTED_VALUE"""),"dusklobber")</f>
        <v>dusklobber</v>
      </c>
      <c r="W69" s="64" t="str">
        <f ca="1">IFERROR(__xludf.DUMMYFUNCTION("""COMPUTED_VALUE"""),"Ranged")</f>
        <v>Ranged</v>
      </c>
      <c r="X69" s="64" t="str">
        <f ca="1">IFERROR(__xludf.DUMMYFUNCTION("""COMPUTED_VALUE"""),"PvZ 2, PvZ 2 Chinease")</f>
        <v>PvZ 2, PvZ 2 Chinease</v>
      </c>
      <c r="Y69" s="65" t="str">
        <f ca="1">IFERROR(__xludf.DUMMYFUNCTION("""COMPUTED_VALUE"""),"https://static.wikia.nocookie.net/plantsvszombies/images/e/e2/Dusk_Lobber2.png/revision/latest?cb=20160218232807")</f>
        <v>https://static.wikia.nocookie.net/plantsvszombies/images/e/e2/Dusk_Lobber2.png/revision/latest?cb=20160218232807</v>
      </c>
    </row>
    <row r="70" spans="1:25" x14ac:dyDescent="0.2">
      <c r="A70" s="64">
        <f ca="1">IFERROR(__xludf.DUMMYFUNCTION("""COMPUTED_VALUE"""),69)</f>
        <v>69</v>
      </c>
      <c r="B70" s="64" t="str">
        <f ca="1">IFERROR(__xludf.DUMMYFUNCTION("""COMPUTED_VALUE"""),"Grimrose")</f>
        <v>Grimrose</v>
      </c>
      <c r="C70" s="64" t="str">
        <f ca="1">IFERROR(__xludf.DUMMYFUNCTION("""COMPUTED_VALUE"""),"Coveirosa")</f>
        <v>Coveirosa</v>
      </c>
      <c r="D70" s="64" t="str">
        <f ca="1">IFERROR(__xludf.DUMMYFUNCTION("""COMPUTED_VALUE"""),"Sombra")</f>
        <v>Sombra</v>
      </c>
      <c r="E70" s="64" t="str">
        <f ca="1">IFERROR(__xludf.DUMMYFUNCTION("""COMPUTED_VALUE"""),"Ataca com sua sombra um zumbi, caso esteja energizado, ataca até 3 vezes.")</f>
        <v>Ataca com sua sombra um zumbi, caso esteja energizado, ataca até 3 vezes.</v>
      </c>
      <c r="F70" s="64">
        <f ca="1">IFERROR(__xludf.DUMMYFUNCTION("""COMPUTED_VALUE"""),75)</f>
        <v>75</v>
      </c>
      <c r="G70" s="64">
        <f ca="1">IFERROR(__xludf.DUMMYFUNCTION("""COMPUTED_VALUE"""),300)</f>
        <v>300</v>
      </c>
      <c r="H70" s="64">
        <f ca="1">IFERROR(__xludf.DUMMYFUNCTION("""COMPUTED_VALUE"""),600)</f>
        <v>600</v>
      </c>
      <c r="I70" s="64">
        <f ca="1">IFERROR(__xludf.DUMMYFUNCTION("""COMPUTED_VALUE"""),20)</f>
        <v>20</v>
      </c>
      <c r="J70" s="64" t="str">
        <f ca="1">IFERROR(__xludf.DUMMYFUNCTION("""COMPUTED_VALUE"""),"Drags the strongest small zombie into the ground. If the zombie is large or mechanical- deal damage instead.")</f>
        <v>Drags the strongest small zombie into the ground. If the zombie is large or mechanical- deal damage instead.</v>
      </c>
      <c r="K70" s="64"/>
      <c r="L70" s="64" t="str">
        <f ca="1">IFERROR(__xludf.DUMMYFUNCTION("""COMPUTED_VALUE"""),"Special - Powered Grimroses can drag 3 zombies before expiring")</f>
        <v>Special - Powered Grimroses can drag 3 zombies before expiring</v>
      </c>
      <c r="M70" s="64" t="b">
        <f ca="1">IFERROR(__xludf.DUMMYFUNCTION("""COMPUTED_VALUE"""),TRUE)</f>
        <v>1</v>
      </c>
      <c r="N70" s="64" t="b">
        <f ca="1">IFERROR(__xludf.DUMMYFUNCTION("""COMPUTED_VALUE"""),FALSE)</f>
        <v>0</v>
      </c>
      <c r="O70" s="64">
        <f ca="1">IFERROR(__xludf.DUMMYFUNCTION("""COMPUTED_VALUE"""),0)</f>
        <v>0</v>
      </c>
      <c r="P70" s="64" t="str">
        <f ca="1">IFERROR(__xludf.DUMMYFUNCTION("""COMPUTED_VALUE"""),"Common")</f>
        <v>Common</v>
      </c>
      <c r="Q70" s="64"/>
      <c r="R70" s="64" t="str">
        <f ca="1">IFERROR(__xludf.DUMMYFUNCTION("""COMPUTED_VALUE"""),"Flower")</f>
        <v>Flower</v>
      </c>
      <c r="S70" s="64" t="str">
        <f ca="1">IFERROR(__xludf.DUMMYFUNCTION("""COMPUTED_VALUE"""),"Natural")</f>
        <v>Natural</v>
      </c>
      <c r="T70" s="64" t="str">
        <f ca="1">IFERROR(__xludf.DUMMYFUNCTION("""COMPUTED_VALUE"""),"None")</f>
        <v>None</v>
      </c>
      <c r="U70" s="64" t="str">
        <f ca="1">IFERROR(__xludf.DUMMYFUNCTION("""COMPUTED_VALUE"""),"None")</f>
        <v>None</v>
      </c>
      <c r="V70" s="64" t="str">
        <f ca="1">IFERROR(__xludf.DUMMYFUNCTION("""COMPUTED_VALUE"""),"grimrose")</f>
        <v>grimrose</v>
      </c>
      <c r="W70" s="64" t="str">
        <f ca="1">IFERROR(__xludf.DUMMYFUNCTION("""COMPUTED_VALUE"""),"Special")</f>
        <v>Special</v>
      </c>
      <c r="X70" s="64" t="str">
        <f ca="1">IFERROR(__xludf.DUMMYFUNCTION("""COMPUTED_VALUE"""),"PvZ 2, PvZ 2 Chinease")</f>
        <v>PvZ 2, PvZ 2 Chinease</v>
      </c>
      <c r="Y70" s="65" t="str">
        <f ca="1">IFERROR(__xludf.DUMMYFUNCTION("""COMPUTED_VALUE"""),"https://static.wikia.nocookie.net/plantsvszombies/images/8/80/Grimrose2.png/revision/latest?cb=20160218232806")</f>
        <v>https://static.wikia.nocookie.net/plantsvszombies/images/8/80/Grimrose2.png/revision/latest?cb=20160218232806</v>
      </c>
    </row>
    <row r="71" spans="1:25" x14ac:dyDescent="0.2">
      <c r="A71" s="64">
        <f ca="1">IFERROR(__xludf.DUMMYFUNCTION("""COMPUTED_VALUE"""),70)</f>
        <v>70</v>
      </c>
      <c r="B71" s="64" t="str">
        <f ca="1">IFERROR(__xludf.DUMMYFUNCTION("""COMPUTED_VALUE"""),"Snow Pea")</f>
        <v>Snow Pea</v>
      </c>
      <c r="C71" s="64" t="str">
        <f ca="1">IFERROR(__xludf.DUMMYFUNCTION("""COMPUTED_VALUE"""),"Gelervilha")</f>
        <v>Gelervilha</v>
      </c>
      <c r="D71" s="64" t="str">
        <f ca="1">IFERROR(__xludf.DUMMYFUNCTION("""COMPUTED_VALUE"""),"Resfriada")</f>
        <v>Resfriada</v>
      </c>
      <c r="E71" s="64" t="str">
        <f ca="1">IFERROR(__xludf.DUMMYFUNCTION("""COMPUTED_VALUE"""),"Dispara uma ervilha contra os zumbis que resfria seus movimentos.")</f>
        <v>Dispara uma ervilha contra os zumbis que resfria seus movimentos.</v>
      </c>
      <c r="F71" s="64">
        <f ca="1">IFERROR(__xludf.DUMMYFUNCTION("""COMPUTED_VALUE"""),150)</f>
        <v>150</v>
      </c>
      <c r="G71" s="64">
        <f ca="1">IFERROR(__xludf.DUMMYFUNCTION("""COMPUTED_VALUE"""),300)</f>
        <v>300</v>
      </c>
      <c r="H71" s="64">
        <f ca="1">IFERROR(__xludf.DUMMYFUNCTION("""COMPUTED_VALUE"""),20)</f>
        <v>20</v>
      </c>
      <c r="I71" s="64">
        <f ca="1">IFERROR(__xludf.DUMMYFUNCTION("""COMPUTED_VALUE"""),5)</f>
        <v>5</v>
      </c>
      <c r="J71" s="64" t="str">
        <f ca="1">IFERROR(__xludf.DUMMYFUNCTION("""COMPUTED_VALUE"""),"Slows all zombies in the column, then shoots a barrage of frozen peas.")</f>
        <v>Slows all zombies in the column, then shoots a barrage of frozen peas.</v>
      </c>
      <c r="K71" s="64"/>
      <c r="L71" s="64" t="str">
        <f ca="1">IFERROR(__xludf.DUMMYFUNCTION("""COMPUTED_VALUE"""),"Special - Chills and damages zombie on impact
Special - Chills closely following zombies with no damage")</f>
        <v>Special - Chills and damages zombie on impact
Special - Chills closely following zombies with no damage</v>
      </c>
      <c r="M71" s="64" t="b">
        <f ca="1">IFERROR(__xludf.DUMMYFUNCTION("""COMPUTED_VALUE"""),FALSE)</f>
        <v>0</v>
      </c>
      <c r="N71" s="64" t="b">
        <f ca="1">IFERROR(__xludf.DUMMYFUNCTION("""COMPUTED_VALUE"""),FALSE)</f>
        <v>0</v>
      </c>
      <c r="O71" s="64">
        <f ca="1">IFERROR(__xludf.DUMMYFUNCTION("""COMPUTED_VALUE"""),0)</f>
        <v>0</v>
      </c>
      <c r="P71" s="64" t="str">
        <f ca="1">IFERROR(__xludf.DUMMYFUNCTION("""COMPUTED_VALUE"""),"Rare")</f>
        <v>Rare</v>
      </c>
      <c r="Q71" s="64" t="str">
        <f ca="1">IFERROR(__xludf.DUMMYFUNCTION("""COMPUTED_VALUE"""),"chilling")</f>
        <v>chilling</v>
      </c>
      <c r="R71" s="64" t="str">
        <f ca="1">IFERROR(__xludf.DUMMYFUNCTION("""COMPUTED_VALUE"""),"Pea")</f>
        <v>Pea</v>
      </c>
      <c r="S71" s="64" t="str">
        <f ca="1">IFERROR(__xludf.DUMMYFUNCTION("""COMPUTED_VALUE"""),"Premium")</f>
        <v>Premium</v>
      </c>
      <c r="T71" s="64" t="str">
        <f ca="1">IFERROR(__xludf.DUMMYFUNCTION("""COMPUTED_VALUE"""),"None")</f>
        <v>None</v>
      </c>
      <c r="U71" s="64" t="str">
        <f ca="1">IFERROR(__xludf.DUMMYFUNCTION("""COMPUTED_VALUE"""),"None")</f>
        <v>None</v>
      </c>
      <c r="V71" s="64" t="str">
        <f ca="1">IFERROR(__xludf.DUMMYFUNCTION("""COMPUTED_VALUE"""),"snowpea")</f>
        <v>snowpea</v>
      </c>
      <c r="W71" s="64" t="str">
        <f ca="1">IFERROR(__xludf.DUMMYFUNCTION("""COMPUTED_VALUE"""),"Ranged")</f>
        <v>Ranged</v>
      </c>
      <c r="X71" s="64" t="str">
        <f ca="1">IFERROR(__xludf.DUMMYFUNCTION("""COMPUTED_VALUE"""),"PvZ, PvZ 2, PvZ 2 Chinease, PvZ Heroes, PvZ GW, PvZ GW 2, PvZA, PvZ 3")</f>
        <v>PvZ, PvZ 2, PvZ 2 Chinease, PvZ Heroes, PvZ GW, PvZ GW 2, PvZA, PvZ 3</v>
      </c>
      <c r="Y71" s="65" t="str">
        <f ca="1">IFERROR(__xludf.DUMMYFUNCTION("""COMPUTED_VALUE"""),"https://static.wikia.nocookie.net/plantsvszombies/images/a/af/Snow_Pea2.png/revision/latest?cb=20221126072509")</f>
        <v>https://static.wikia.nocookie.net/plantsvszombies/images/a/af/Snow_Pea2.png/revision/latest?cb=20221126072509</v>
      </c>
    </row>
    <row r="72" spans="1:25" x14ac:dyDescent="0.2">
      <c r="A72" s="64">
        <f ca="1">IFERROR(__xludf.DUMMYFUNCTION("""COMPUTED_VALUE"""),71)</f>
        <v>71</v>
      </c>
      <c r="B72" s="64" t="str">
        <f ca="1">IFERROR(__xludf.DUMMYFUNCTION("""COMPUTED_VALUE"""),"Power Lily")</f>
        <v>Power Lily</v>
      </c>
      <c r="C72" s="64" t="str">
        <f ca="1">IFERROR(__xludf.DUMMYFUNCTION("""COMPUTED_VALUE"""),"Lírio Fertilizante")</f>
        <v>Lírio Fertilizante</v>
      </c>
      <c r="D72" s="64" t="str">
        <f ca="1">IFERROR(__xludf.DUMMYFUNCTION("""COMPUTED_VALUE"""),"Encanta")</f>
        <v>Encanta</v>
      </c>
      <c r="E72" s="64" t="str">
        <f ca="1">IFERROR(__xludf.DUMMYFUNCTION("""COMPUTED_VALUE"""),"Gera um adubo.")</f>
        <v>Gera um adubo.</v>
      </c>
      <c r="F72" s="64">
        <f ca="1">IFERROR(__xludf.DUMMYFUNCTION("""COMPUTED_VALUE"""),175)</f>
        <v>175</v>
      </c>
      <c r="G72" s="64">
        <f ca="1">IFERROR(__xludf.DUMMYFUNCTION("""COMPUTED_VALUE"""),1)</f>
        <v>1</v>
      </c>
      <c r="H72" s="64">
        <f ca="1">IFERROR(__xludf.DUMMYFUNCTION("""COMPUTED_VALUE"""),0)</f>
        <v>0</v>
      </c>
      <c r="I72" s="64">
        <f ca="1">IFERROR(__xludf.DUMMYFUNCTION("""COMPUTED_VALUE"""),60)</f>
        <v>60</v>
      </c>
      <c r="J72" s="64" t="str">
        <f ca="1">IFERROR(__xludf.DUMMYFUNCTION("""COMPUTED_VALUE"""),"No Plant Food effect.")</f>
        <v>No Plant Food effect.</v>
      </c>
      <c r="K72" s="64"/>
      <c r="L72" s="64" t="str">
        <f ca="1">IFERROR(__xludf.DUMMYFUNCTION("""COMPUTED_VALUE"""),"Special - Creates one Plant Food")</f>
        <v>Special - Creates one Plant Food</v>
      </c>
      <c r="M72" s="64" t="b">
        <f ca="1">IFERROR(__xludf.DUMMYFUNCTION("""COMPUTED_VALUE"""),TRUE)</f>
        <v>1</v>
      </c>
      <c r="N72" s="64" t="b">
        <f ca="1">IFERROR(__xludf.DUMMYFUNCTION("""COMPUTED_VALUE"""),TRUE)</f>
        <v>1</v>
      </c>
      <c r="O72" s="64">
        <f ca="1">IFERROR(__xludf.DUMMYFUNCTION("""COMPUTED_VALUE"""),0)</f>
        <v>0</v>
      </c>
      <c r="P72" s="64" t="str">
        <f ca="1">IFERROR(__xludf.DUMMYFUNCTION("""COMPUTED_VALUE"""),"Rare")</f>
        <v>Rare</v>
      </c>
      <c r="Q72" s="64"/>
      <c r="R72" s="64" t="str">
        <f ca="1">IFERROR(__xludf.DUMMYFUNCTION("""COMPUTED_VALUE"""),"Flower")</f>
        <v>Flower</v>
      </c>
      <c r="S72" s="64" t="str">
        <f ca="1">IFERROR(__xludf.DUMMYFUNCTION("""COMPUTED_VALUE"""),"Premium")</f>
        <v>Premium</v>
      </c>
      <c r="T72" s="64" t="str">
        <f ca="1">IFERROR(__xludf.DUMMYFUNCTION("""COMPUTED_VALUE"""),"None")</f>
        <v>None</v>
      </c>
      <c r="U72" s="64" t="str">
        <f ca="1">IFERROR(__xludf.DUMMYFUNCTION("""COMPUTED_VALUE"""),"None")</f>
        <v>None</v>
      </c>
      <c r="V72" s="64" t="str">
        <f ca="1">IFERROR(__xludf.DUMMYFUNCTION("""COMPUTED_VALUE"""),"powerlily")</f>
        <v>powerlily</v>
      </c>
      <c r="W72" s="64" t="str">
        <f ca="1">IFERROR(__xludf.DUMMYFUNCTION("""COMPUTED_VALUE"""),"Support")</f>
        <v>Support</v>
      </c>
      <c r="X72" s="64" t="str">
        <f ca="1">IFERROR(__xludf.DUMMYFUNCTION("""COMPUTED_VALUE"""),"PvZ 2, PvZ 2 Chinease")</f>
        <v>PvZ 2, PvZ 2 Chinease</v>
      </c>
      <c r="Y72" s="65" t="str">
        <f ca="1">IFERROR(__xludf.DUMMYFUNCTION("""COMPUTED_VALUE"""),"https://static.wikia.nocookie.net/plantsvszombies/images/d/db/Power_Lily2.png/revision/latest?cb=20221126072700")</f>
        <v>https://static.wikia.nocookie.net/plantsvszombies/images/d/db/Power_Lily2.png/revision/latest?cb=20221126072700</v>
      </c>
    </row>
    <row r="73" spans="1:25" x14ac:dyDescent="0.2">
      <c r="A73" s="64">
        <f ca="1">IFERROR(__xludf.DUMMYFUNCTION("""COMPUTED_VALUE"""),72)</f>
        <v>72</v>
      </c>
      <c r="B73" s="64" t="str">
        <f ca="1">IFERROR(__xludf.DUMMYFUNCTION("""COMPUTED_VALUE"""),"Imitater")</f>
        <v>Imitater</v>
      </c>
      <c r="C73" s="64" t="str">
        <f ca="1">IFERROR(__xludf.DUMMYFUNCTION("""COMPUTED_VALUE"""),"Imitadora")</f>
        <v>Imitadora</v>
      </c>
      <c r="D73" s="64" t="str">
        <f ca="1">IFERROR(__xludf.DUMMYFUNCTION("""COMPUTED_VALUE"""),"Encanta")</f>
        <v>Encanta</v>
      </c>
      <c r="E73" s="64" t="str">
        <f ca="1">IFERROR(__xludf.DUMMYFUNCTION("""COMPUTED_VALUE"""),"Imita a planta anterior.")</f>
        <v>Imita a planta anterior.</v>
      </c>
      <c r="F73" s="64">
        <f ca="1">IFERROR(__xludf.DUMMYFUNCTION("""COMPUTED_VALUE"""),0)</f>
        <v>0</v>
      </c>
      <c r="G73" s="64">
        <f ca="1">IFERROR(__xludf.DUMMYFUNCTION("""COMPUTED_VALUE"""),1)</f>
        <v>1</v>
      </c>
      <c r="H73" s="64">
        <f ca="1">IFERROR(__xludf.DUMMYFUNCTION("""COMPUTED_VALUE"""),0)</f>
        <v>0</v>
      </c>
      <c r="I73" s="64">
        <f ca="1">IFERROR(__xludf.DUMMYFUNCTION("""COMPUTED_VALUE"""),0)</f>
        <v>0</v>
      </c>
      <c r="J73" s="64" t="str">
        <f ca="1">IFERROR(__xludf.DUMMYFUNCTION("""COMPUTED_VALUE"""),"Performs Plant Food effect of the plant it's imitating.")</f>
        <v>Performs Plant Food effect of the plant it's imitating.</v>
      </c>
      <c r="K73" s="64"/>
      <c r="L73" s="64"/>
      <c r="M73" s="64" t="b">
        <f ca="1">IFERROR(__xludf.DUMMYFUNCTION("""COMPUTED_VALUE"""),TRUE)</f>
        <v>1</v>
      </c>
      <c r="N73" s="64" t="b">
        <f ca="1">IFERROR(__xludf.DUMMYFUNCTION("""COMPUTED_VALUE"""),TRUE)</f>
        <v>1</v>
      </c>
      <c r="O73" s="64">
        <f ca="1">IFERROR(__xludf.DUMMYFUNCTION("""COMPUTED_VALUE"""),0)</f>
        <v>0</v>
      </c>
      <c r="P73" s="64" t="str">
        <f ca="1">IFERROR(__xludf.DUMMYFUNCTION("""COMPUTED_VALUE"""),"Rare")</f>
        <v>Rare</v>
      </c>
      <c r="Q73" s="64"/>
      <c r="R73" s="64" t="str">
        <f ca="1">IFERROR(__xludf.DUMMYFUNCTION("""COMPUTED_VALUE"""),"Root")</f>
        <v>Root</v>
      </c>
      <c r="S73" s="64" t="str">
        <f ca="1">IFERROR(__xludf.DUMMYFUNCTION("""COMPUTED_VALUE"""),"Premium")</f>
        <v>Premium</v>
      </c>
      <c r="T73" s="64" t="str">
        <f ca="1">IFERROR(__xludf.DUMMYFUNCTION("""COMPUTED_VALUE"""),"None")</f>
        <v>None</v>
      </c>
      <c r="U73" s="64" t="str">
        <f ca="1">IFERROR(__xludf.DUMMYFUNCTION("""COMPUTED_VALUE"""),"None")</f>
        <v>None</v>
      </c>
      <c r="V73" s="64" t="str">
        <f ca="1">IFERROR(__xludf.DUMMYFUNCTION("""COMPUTED_VALUE"""),"imitater")</f>
        <v>imitater</v>
      </c>
      <c r="W73" s="64" t="str">
        <f ca="1">IFERROR(__xludf.DUMMYFUNCTION("""COMPUTED_VALUE"""),"Support")</f>
        <v>Support</v>
      </c>
      <c r="X73" s="64" t="str">
        <f ca="1">IFERROR(__xludf.DUMMYFUNCTION("""COMPUTED_VALUE"""),"PvZ, PvZ 2, PvZ 2 Chinease, PvZ Heroes")</f>
        <v>PvZ, PvZ 2, PvZ 2 Chinease, PvZ Heroes</v>
      </c>
      <c r="Y73" s="65" t="str">
        <f ca="1">IFERROR(__xludf.DUMMYFUNCTION("""COMPUTED_VALUE"""),"https://static.wikia.nocookie.net/plantsvszombies/images/f/f2/Imitater2.png/revision/latest?cb=20190624020001")</f>
        <v>https://static.wikia.nocookie.net/plantsvszombies/images/f/f2/Imitater2.png/revision/latest?cb=20190624020001</v>
      </c>
    </row>
    <row r="74" spans="1:25" x14ac:dyDescent="0.2">
      <c r="A74" s="64">
        <f ca="1">IFERROR(__xludf.DUMMYFUNCTION("""COMPUTED_VALUE"""),73)</f>
        <v>73</v>
      </c>
      <c r="B74" s="64" t="str">
        <f ca="1">IFERROR(__xludf.DUMMYFUNCTION("""COMPUTED_VALUE"""),"Chomper")</f>
        <v>Chomper</v>
      </c>
      <c r="C74" s="64" t="str">
        <f ca="1">IFERROR(__xludf.DUMMYFUNCTION("""COMPUTED_VALUE"""),"Carnívora")</f>
        <v>Carnívora</v>
      </c>
      <c r="D74" s="64" t="str">
        <f ca="1">IFERROR(__xludf.DUMMYFUNCTION("""COMPUTED_VALUE"""),"Surra")</f>
        <v>Surra</v>
      </c>
      <c r="E74" s="64" t="str">
        <f ca="1">IFERROR(__xludf.DUMMYFUNCTION("""COMPUTED_VALUE"""),"Devora zumbis menores, entrando em modo de recarga.")</f>
        <v>Devora zumbis menores, entrando em modo de recarga.</v>
      </c>
      <c r="F74" s="64">
        <f ca="1">IFERROR(__xludf.DUMMYFUNCTION("""COMPUTED_VALUE"""),150)</f>
        <v>150</v>
      </c>
      <c r="G74" s="64">
        <f ca="1">IFERROR(__xludf.DUMMYFUNCTION("""COMPUTED_VALUE"""),300)</f>
        <v>300</v>
      </c>
      <c r="H74" s="64">
        <f ca="1">IFERROR(__xludf.DUMMYFUNCTION("""COMPUTED_VALUE"""),0)</f>
        <v>0</v>
      </c>
      <c r="I74" s="64">
        <f ca="1">IFERROR(__xludf.DUMMYFUNCTION("""COMPUTED_VALUE"""),5)</f>
        <v>5</v>
      </c>
      <c r="J74" s="64" t="str">
        <f ca="1">IFERROR(__xludf.DUMMYFUNCTION("""COMPUTED_VALUE"""),"Consumes several nearby zombies in the column, then releases a burp that knocks back any survivors.")</f>
        <v>Consumes several nearby zombies in the column, then releases a burp that knocks back any survivors.</v>
      </c>
      <c r="K74" s="64"/>
      <c r="L74" s="64" t="str">
        <f ca="1">IFERROR(__xludf.DUMMYFUNCTION("""COMPUTED_VALUE"""),"Special - Moderate delay between chomps")</f>
        <v>Special - Moderate delay between chomps</v>
      </c>
      <c r="M74" s="64" t="b">
        <f ca="1">IFERROR(__xludf.DUMMYFUNCTION("""COMPUTED_VALUE"""),FALSE)</f>
        <v>0</v>
      </c>
      <c r="N74" s="64" t="b">
        <f ca="1">IFERROR(__xludf.DUMMYFUNCTION("""COMPUTED_VALUE"""),FALSE)</f>
        <v>0</v>
      </c>
      <c r="O74" s="64">
        <f ca="1">IFERROR(__xludf.DUMMYFUNCTION("""COMPUTED_VALUE"""),0)</f>
        <v>0</v>
      </c>
      <c r="P74" s="64" t="str">
        <f ca="1">IFERROR(__xludf.DUMMYFUNCTION("""COMPUTED_VALUE"""),"Uncommon")</f>
        <v>Uncommon</v>
      </c>
      <c r="Q74" s="64" t="str">
        <f ca="1">IFERROR(__xludf.DUMMYFUNCTION("""COMPUTED_VALUE"""),"chomper")</f>
        <v>chomper</v>
      </c>
      <c r="R74" s="64" t="str">
        <f ca="1">IFERROR(__xludf.DUMMYFUNCTION("""COMPUTED_VALUE"""),"Flower")</f>
        <v>Flower</v>
      </c>
      <c r="S74" s="64" t="str">
        <f ca="1">IFERROR(__xludf.DUMMYFUNCTION("""COMPUTED_VALUE"""),"Premium")</f>
        <v>Premium</v>
      </c>
      <c r="T74" s="64" t="str">
        <f ca="1">IFERROR(__xludf.DUMMYFUNCTION("""COMPUTED_VALUE"""),"None")</f>
        <v>None</v>
      </c>
      <c r="U74" s="64" t="str">
        <f ca="1">IFERROR(__xludf.DUMMYFUNCTION("""COMPUTED_VALUE"""),"None")</f>
        <v>None</v>
      </c>
      <c r="V74" s="64" t="str">
        <f ca="1">IFERROR(__xludf.DUMMYFUNCTION("""COMPUTED_VALUE"""),"chomper")</f>
        <v>chomper</v>
      </c>
      <c r="W74" s="64" t="str">
        <f ca="1">IFERROR(__xludf.DUMMYFUNCTION("""COMPUTED_VALUE"""),"Vanguard")</f>
        <v>Vanguard</v>
      </c>
      <c r="X74" s="64" t="str">
        <f ca="1">IFERROR(__xludf.DUMMYFUNCTION("""COMPUTED_VALUE"""),"PvZ, PvZ 2, PvZ 2 Chinease, PvZ Heroes, PvZ GW, PvZ GW 2, PvZ BfN")</f>
        <v>PvZ, PvZ 2, PvZ 2 Chinease, PvZ Heroes, PvZ GW, PvZ GW 2, PvZ BfN</v>
      </c>
      <c r="Y74" s="65" t="str">
        <f ca="1">IFERROR(__xludf.DUMMYFUNCTION("""COMPUTED_VALUE"""),"https://static.wikia.nocookie.net/plantsvszombies/images/1/16/Chomper2.png/revision/latest?cb=20160831224928")</f>
        <v>https://static.wikia.nocookie.net/plantsvszombies/images/1/16/Chomper2.png/revision/latest?cb=20160831224928</v>
      </c>
    </row>
    <row r="75" spans="1:25" x14ac:dyDescent="0.2">
      <c r="A75" s="64">
        <f ca="1">IFERROR(__xludf.DUMMYFUNCTION("""COMPUTED_VALUE"""),74)</f>
        <v>74</v>
      </c>
      <c r="B75" s="64" t="str">
        <f ca="1">IFERROR(__xludf.DUMMYFUNCTION("""COMPUTED_VALUE"""),"Toadstool")</f>
        <v>Toadstool</v>
      </c>
      <c r="C75" s="64" t="str">
        <f ca="1">IFERROR(__xludf.DUMMYFUNCTION("""COMPUTED_VALUE"""),"Rãgumelo")</f>
        <v>Rãgumelo</v>
      </c>
      <c r="D75" s="64" t="str">
        <f ca="1">IFERROR(__xludf.DUMMYFUNCTION("""COMPUTED_VALUE"""),"Esclarecida")</f>
        <v>Esclarecida</v>
      </c>
      <c r="E75" s="64" t="str">
        <f ca="1">IFERROR(__xludf.DUMMYFUNCTION("""COMPUTED_VALUE"""),"Devora zumbis menores, entrando em modo de recarga enquanto gera sóis adicionais.")</f>
        <v>Devora zumbis menores, entrando em modo de recarga enquanto gera sóis adicionais.</v>
      </c>
      <c r="F75" s="64">
        <f ca="1">IFERROR(__xludf.DUMMYFUNCTION("""COMPUTED_VALUE"""),200)</f>
        <v>200</v>
      </c>
      <c r="G75" s="64">
        <f ca="1">IFERROR(__xludf.DUMMYFUNCTION("""COMPUTED_VALUE"""),300)</f>
        <v>300</v>
      </c>
      <c r="H75" s="64">
        <f ca="1">IFERROR(__xludf.DUMMYFUNCTION("""COMPUTED_VALUE"""),0)</f>
        <v>0</v>
      </c>
      <c r="I75" s="64">
        <f ca="1">IFERROR(__xludf.DUMMYFUNCTION("""COMPUTED_VALUE"""),5)</f>
        <v>5</v>
      </c>
      <c r="J75" s="64" t="str">
        <f ca="1">IFERROR(__xludf.DUMMYFUNCTION("""COMPUTED_VALUE"""),"Consumes up to 4 random zombies in the surrounding area and produces sun for each zombie it ate.")</f>
        <v>Consumes up to 4 random zombies in the surrounding area and produces sun for each zombie it ate.</v>
      </c>
      <c r="K75" s="64"/>
      <c r="L75" s="64"/>
      <c r="M75" s="64" t="b">
        <f ca="1">IFERROR(__xludf.DUMMYFUNCTION("""COMPUTED_VALUE"""),FALSE)</f>
        <v>0</v>
      </c>
      <c r="N75" s="64" t="b">
        <f ca="1">IFERROR(__xludf.DUMMYFUNCTION("""COMPUTED_VALUE"""),FALSE)</f>
        <v>0</v>
      </c>
      <c r="O75" s="64">
        <f ca="1">IFERROR(__xludf.DUMMYFUNCTION("""COMPUTED_VALUE"""),50)</f>
        <v>50</v>
      </c>
      <c r="P75" s="64" t="str">
        <f ca="1">IFERROR(__xludf.DUMMYFUNCTION("""COMPUTED_VALUE"""),"Rare")</f>
        <v>Rare</v>
      </c>
      <c r="Q75" s="64" t="str">
        <f ca="1">IFERROR(__xludf.DUMMYFUNCTION("""COMPUTED_VALUE"""),"chomper")</f>
        <v>chomper</v>
      </c>
      <c r="R75" s="64" t="str">
        <f ca="1">IFERROR(__xludf.DUMMYFUNCTION("""COMPUTED_VALUE"""),"Murshroom")</f>
        <v>Murshroom</v>
      </c>
      <c r="S75" s="64" t="str">
        <f ca="1">IFERROR(__xludf.DUMMYFUNCTION("""COMPUTED_VALUE"""),"Premium")</f>
        <v>Premium</v>
      </c>
      <c r="T75" s="64" t="str">
        <f ca="1">IFERROR(__xludf.DUMMYFUNCTION("""COMPUTED_VALUE"""),"None")</f>
        <v>None</v>
      </c>
      <c r="U75" s="64" t="str">
        <f ca="1">IFERROR(__xludf.DUMMYFUNCTION("""COMPUTED_VALUE"""),"None")</f>
        <v>None</v>
      </c>
      <c r="V75" s="64" t="str">
        <f ca="1">IFERROR(__xludf.DUMMYFUNCTION("""COMPUTED_VALUE"""),"toadstool")</f>
        <v>toadstool</v>
      </c>
      <c r="W75" s="64" t="str">
        <f ca="1">IFERROR(__xludf.DUMMYFUNCTION("""COMPUTED_VALUE"""),"Vanguard")</f>
        <v>Vanguard</v>
      </c>
      <c r="X75" s="64" t="str">
        <f ca="1">IFERROR(__xludf.DUMMYFUNCTION("""COMPUTED_VALUE"""),"PvZ 2, PvZ 2 Chinease, PvZ Heroes")</f>
        <v>PvZ 2, PvZ 2 Chinease, PvZ Heroes</v>
      </c>
      <c r="Y75" s="65" t="str">
        <f ca="1">IFERROR(__xludf.DUMMYFUNCTION("""COMPUTED_VALUE"""),"https://static.wikia.nocookie.net/plantsvszombies/images/e/ea/Toadstool2.png/revision/latest?cb=20180303174913")</f>
        <v>https://static.wikia.nocookie.net/plantsvszombies/images/e/ea/Toadstool2.png/revision/latest?cb=20180303174913</v>
      </c>
    </row>
    <row r="76" spans="1:25" x14ac:dyDescent="0.2">
      <c r="A76" s="64">
        <f ca="1">IFERROR(__xludf.DUMMYFUNCTION("""COMPUTED_VALUE"""),75)</f>
        <v>75</v>
      </c>
      <c r="B76" s="64" t="str">
        <f ca="1">IFERROR(__xludf.DUMMYFUNCTION("""COMPUTED_VALUE"""),"Strawburst")</f>
        <v>Strawburst</v>
      </c>
      <c r="C76" s="64" t="str">
        <f ca="1">IFERROR(__xludf.DUMMYFUNCTION("""COMPUTED_VALUE"""),"Morangranada")</f>
        <v>Morangranada</v>
      </c>
      <c r="D76" s="64" t="str">
        <f ca="1">IFERROR(__xludf.DUMMYFUNCTION("""COMPUTED_VALUE"""),"Bombarda")</f>
        <v>Bombarda</v>
      </c>
      <c r="E76" s="64" t="str">
        <f ca="1">IFERROR(__xludf.DUMMYFUNCTION("""COMPUTED_VALUE"""),"Atira uma granada explosiva que fica mais forte a medida do tempo.")</f>
        <v>Atira uma granada explosiva que fica mais forte a medida do tempo.</v>
      </c>
      <c r="F76" s="64">
        <f ca="1">IFERROR(__xludf.DUMMYFUNCTION("""COMPUTED_VALUE"""),400)</f>
        <v>400</v>
      </c>
      <c r="G76" s="64">
        <f ca="1">IFERROR(__xludf.DUMMYFUNCTION("""COMPUTED_VALUE"""),300)</f>
        <v>300</v>
      </c>
      <c r="H76" s="64">
        <f ca="1">IFERROR(__xludf.DUMMYFUNCTION("""COMPUTED_VALUE"""),200)</f>
        <v>200</v>
      </c>
      <c r="I76" s="64">
        <f ca="1">IFERROR(__xludf.DUMMYFUNCTION("""COMPUTED_VALUE"""),5)</f>
        <v>5</v>
      </c>
      <c r="J76" s="64" t="str">
        <f ca="1">IFERROR(__xludf.DUMMYFUNCTION("""COMPUTED_VALUE"""),"Launches a huge strawberry that explodes on impact that deals damage to all zombies on the lawn.")</f>
        <v>Launches a huge strawberry that explodes on impact that deals damage to all zombies on the lawn.</v>
      </c>
      <c r="K76" s="64"/>
      <c r="L76" s="64"/>
      <c r="M76" s="64" t="b">
        <f ca="1">IFERROR(__xludf.DUMMYFUNCTION("""COMPUTED_VALUE"""),FALSE)</f>
        <v>0</v>
      </c>
      <c r="N76" s="64" t="b">
        <f ca="1">IFERROR(__xludf.DUMMYFUNCTION("""COMPUTED_VALUE"""),FALSE)</f>
        <v>0</v>
      </c>
      <c r="O76" s="64">
        <f ca="1">IFERROR(__xludf.DUMMYFUNCTION("""COMPUTED_VALUE"""),0)</f>
        <v>0</v>
      </c>
      <c r="P76" s="64" t="str">
        <f ca="1">IFERROR(__xludf.DUMMYFUNCTION("""COMPUTED_VALUE"""),"Rare")</f>
        <v>Rare</v>
      </c>
      <c r="Q76" s="64" t="str">
        <f ca="1">IFERROR(__xludf.DUMMYFUNCTION("""COMPUTED_VALUE"""),"area-effect")</f>
        <v>area-effect</v>
      </c>
      <c r="R76" s="64" t="str">
        <f ca="1">IFERROR(__xludf.DUMMYFUNCTION("""COMPUTED_VALUE"""),"Berry")</f>
        <v>Berry</v>
      </c>
      <c r="S76" s="64" t="str">
        <f ca="1">IFERROR(__xludf.DUMMYFUNCTION("""COMPUTED_VALUE"""),"Premium")</f>
        <v>Premium</v>
      </c>
      <c r="T76" s="64" t="str">
        <f ca="1">IFERROR(__xludf.DUMMYFUNCTION("""COMPUTED_VALUE"""),"None")</f>
        <v>None</v>
      </c>
      <c r="U76" s="64" t="str">
        <f ca="1">IFERROR(__xludf.DUMMYFUNCTION("""COMPUTED_VALUE"""),"900")</f>
        <v>900</v>
      </c>
      <c r="V76" s="64" t="str">
        <f ca="1">IFERROR(__xludf.DUMMYFUNCTION("""COMPUTED_VALUE"""),"strawburst")</f>
        <v>strawburst</v>
      </c>
      <c r="W76" s="64" t="str">
        <f ca="1">IFERROR(__xludf.DUMMYFUNCTION("""COMPUTED_VALUE"""),"Ranged")</f>
        <v>Ranged</v>
      </c>
      <c r="X76" s="64" t="str">
        <f ca="1">IFERROR(__xludf.DUMMYFUNCTION("""COMPUTED_VALUE"""),"PvZ 2, PvZ 2 Chinease")</f>
        <v>PvZ 2, PvZ 2 Chinease</v>
      </c>
      <c r="Y76" s="65" t="str">
        <f ca="1">IFERROR(__xludf.DUMMYFUNCTION("""COMPUTED_VALUE"""),"https://static.wikia.nocookie.net/plantsvszombies/images/3/30/Strawburst2.png/revision/latest?cb=20161026010927")</f>
        <v>https://static.wikia.nocookie.net/plantsvszombies/images/3/30/Strawburst2.png/revision/latest?cb=20161026010927</v>
      </c>
    </row>
    <row r="77" spans="1:25" x14ac:dyDescent="0.2">
      <c r="A77" s="64">
        <f ca="1">IFERROR(__xludf.DUMMYFUNCTION("""COMPUTED_VALUE"""),76)</f>
        <v>76</v>
      </c>
      <c r="B77" s="64" t="str">
        <f ca="1">IFERROR(__xludf.DUMMYFUNCTION("""COMPUTED_VALUE"""),"Cactus")</f>
        <v>Cactus</v>
      </c>
      <c r="C77" s="64" t="str">
        <f ca="1">IFERROR(__xludf.DUMMYFUNCTION("""COMPUTED_VALUE"""),"Cacto")</f>
        <v>Cacto</v>
      </c>
      <c r="D77" s="64" t="str">
        <f ca="1">IFERROR(__xludf.DUMMYFUNCTION("""COMPUTED_VALUE"""),"Perfura")</f>
        <v>Perfura</v>
      </c>
      <c r="E77" s="64" t="str">
        <f ca="1">IFERROR(__xludf.DUMMYFUNCTION("""COMPUTED_VALUE"""),"Dispara projeteis perfurantes, e machuca zumbis que passem por cima dele.")</f>
        <v>Dispara projeteis perfurantes, e machuca zumbis que passem por cima dele.</v>
      </c>
      <c r="F77" s="64">
        <f ca="1">IFERROR(__xludf.DUMMYFUNCTION("""COMPUTED_VALUE"""),175)</f>
        <v>175</v>
      </c>
      <c r="G77" s="64">
        <f ca="1">IFERROR(__xludf.DUMMYFUNCTION("""COMPUTED_VALUE"""),300)</f>
        <v>300</v>
      </c>
      <c r="H77" s="64">
        <f ca="1">IFERROR(__xludf.DUMMYFUNCTION("""COMPUTED_VALUE"""),30)</f>
        <v>30</v>
      </c>
      <c r="I77" s="64">
        <f ca="1">IFERROR(__xludf.DUMMYFUNCTION("""COMPUTED_VALUE"""),5)</f>
        <v>5</v>
      </c>
      <c r="J77" s="64" t="str">
        <f ca="1">IFERROR(__xludf.DUMMYFUNCTION("""COMPUTED_VALUE"""),"Permanently increases piercing power and damage.")</f>
        <v>Permanently increases piercing power and damage.</v>
      </c>
      <c r="K77" s="64"/>
      <c r="L77" s="64" t="str">
        <f ca="1">IFERROR(__xludf.DUMMYFUNCTION("""COMPUTED_VALUE"""),"Special - Hides and does ground damage when zombies are near
Special - Pops Balloon Zombies with a special anti-balloon projectile")</f>
        <v>Special - Hides and does ground damage when zombies are near
Special - Pops Balloon Zombies with a special anti-balloon projectile</v>
      </c>
      <c r="M77" s="64" t="b">
        <f ca="1">IFERROR(__xludf.DUMMYFUNCTION("""COMPUTED_VALUE"""),FALSE)</f>
        <v>0</v>
      </c>
      <c r="N77" s="64" t="b">
        <f ca="1">IFERROR(__xludf.DUMMYFUNCTION("""COMPUTED_VALUE"""),FALSE)</f>
        <v>0</v>
      </c>
      <c r="O77" s="64">
        <f ca="1">IFERROR(__xludf.DUMMYFUNCTION("""COMPUTED_VALUE"""),0)</f>
        <v>0</v>
      </c>
      <c r="P77" s="64" t="str">
        <f ca="1">IFERROR(__xludf.DUMMYFUNCTION("""COMPUTED_VALUE"""),"Uncommon")</f>
        <v>Uncommon</v>
      </c>
      <c r="Q77" s="64" t="str">
        <f ca="1">IFERROR(__xludf.DUMMYFUNCTION("""COMPUTED_VALUE"""),"grounded, spikes")</f>
        <v>grounded, spikes</v>
      </c>
      <c r="R77" s="64" t="str">
        <f ca="1">IFERROR(__xludf.DUMMYFUNCTION("""COMPUTED_VALUE"""),"Cactus")</f>
        <v>Cactus</v>
      </c>
      <c r="S77" s="64" t="str">
        <f ca="1">IFERROR(__xludf.DUMMYFUNCTION("""COMPUTED_VALUE"""),"Premium")</f>
        <v>Premium</v>
      </c>
      <c r="T77" s="64" t="str">
        <f ca="1">IFERROR(__xludf.DUMMYFUNCTION("""COMPUTED_VALUE"""),"None")</f>
        <v>None</v>
      </c>
      <c r="U77" s="64" t="str">
        <f ca="1">IFERROR(__xludf.DUMMYFUNCTION("""COMPUTED_VALUE"""),"10")</f>
        <v>10</v>
      </c>
      <c r="V77" s="64" t="str">
        <f ca="1">IFERROR(__xludf.DUMMYFUNCTION("""COMPUTED_VALUE"""),"cactus")</f>
        <v>cactus</v>
      </c>
      <c r="W77" s="64" t="str">
        <f ca="1">IFERROR(__xludf.DUMMYFUNCTION("""COMPUTED_VALUE"""),"Ranged")</f>
        <v>Ranged</v>
      </c>
      <c r="X77" s="64" t="str">
        <f ca="1">IFERROR(__xludf.DUMMYFUNCTION("""COMPUTED_VALUE"""),"PvZ, PvZ 2, PvZ 2 Chinease, PvZ Heroes, PvZ GW, PvZ GW 2, PvZ BfN")</f>
        <v>PvZ, PvZ 2, PvZ 2 Chinease, PvZ Heroes, PvZ GW, PvZ GW 2, PvZ BfN</v>
      </c>
      <c r="Y77" s="65" t="str">
        <f ca="1">IFERROR(__xludf.DUMMYFUNCTION("""COMPUTED_VALUE"""),"https://static.wikia.nocookie.net/plantsvszombies/images/a/aa/Cactus2.png/revision/latest?cb=20150823165854")</f>
        <v>https://static.wikia.nocookie.net/plantsvszombies/images/a/aa/Cactus2.png/revision/latest?cb=20150823165854</v>
      </c>
    </row>
    <row r="78" spans="1:25" x14ac:dyDescent="0.2">
      <c r="A78" s="64">
        <f ca="1">IFERROR(__xludf.DUMMYFUNCTION("""COMPUTED_VALUE"""),77)</f>
        <v>77</v>
      </c>
      <c r="B78" s="64" t="str">
        <f ca="1">IFERROR(__xludf.DUMMYFUNCTION("""COMPUTED_VALUE"""),"Electric Blueberry")</f>
        <v>Electric Blueberry</v>
      </c>
      <c r="C78" s="64" t="str">
        <f ca="1">IFERROR(__xludf.DUMMYFUNCTION("""COMPUTED_VALUE"""),"Amora Elétrica")</f>
        <v>Amora Elétrica</v>
      </c>
      <c r="D78" s="64" t="str">
        <f ca="1">IFERROR(__xludf.DUMMYFUNCTION("""COMPUTED_VALUE"""),"Fila")</f>
        <v>Fila</v>
      </c>
      <c r="E78" s="64" t="str">
        <f ca="1">IFERROR(__xludf.DUMMYFUNCTION("""COMPUTED_VALUE"""),"Aleatoriamente gera uma numvem que eletrocuta um zumbi com frequência.")</f>
        <v>Aleatoriamente gera uma numvem que eletrocuta um zumbi com frequência.</v>
      </c>
      <c r="F78" s="64">
        <f ca="1">IFERROR(__xludf.DUMMYFUNCTION("""COMPUTED_VALUE"""),150)</f>
        <v>150</v>
      </c>
      <c r="G78" s="64">
        <f ca="1">IFERROR(__xludf.DUMMYFUNCTION("""COMPUTED_VALUE"""),300)</f>
        <v>300</v>
      </c>
      <c r="H78" s="64">
        <f ca="1">IFERROR(__xludf.DUMMYFUNCTION("""COMPUTED_VALUE"""),5000)</f>
        <v>5000</v>
      </c>
      <c r="I78" s="64">
        <f ca="1">IFERROR(__xludf.DUMMYFUNCTION("""COMPUTED_VALUE"""),45)</f>
        <v>45</v>
      </c>
      <c r="J78" s="64" t="str">
        <f ca="1">IFERROR(__xludf.DUMMYFUNCTION("""COMPUTED_VALUE"""),"Creates a storm cloud that targets 3 random zombies, dealing damage.")</f>
        <v>Creates a storm cloud that targets 3 random zombies, dealing damage.</v>
      </c>
      <c r="K78" s="64"/>
      <c r="L78" s="64"/>
      <c r="M78" s="64" t="b">
        <f ca="1">IFERROR(__xludf.DUMMYFUNCTION("""COMPUTED_VALUE"""),FALSE)</f>
        <v>0</v>
      </c>
      <c r="N78" s="64" t="b">
        <f ca="1">IFERROR(__xludf.DUMMYFUNCTION("""COMPUTED_VALUE"""),FALSE)</f>
        <v>0</v>
      </c>
      <c r="O78" s="64">
        <f ca="1">IFERROR(__xludf.DUMMYFUNCTION("""COMPUTED_VALUE"""),0)</f>
        <v>0</v>
      </c>
      <c r="P78" s="64" t="str">
        <f ca="1">IFERROR(__xludf.DUMMYFUNCTION("""COMPUTED_VALUE"""),"Rare")</f>
        <v>Rare</v>
      </c>
      <c r="Q78" s="64"/>
      <c r="R78" s="64" t="str">
        <f ca="1">IFERROR(__xludf.DUMMYFUNCTION("""COMPUTED_VALUE"""),"Berry")</f>
        <v>Berry</v>
      </c>
      <c r="S78" s="64" t="str">
        <f ca="1">IFERROR(__xludf.DUMMYFUNCTION("""COMPUTED_VALUE"""),"Premium")</f>
        <v>Premium</v>
      </c>
      <c r="T78" s="64" t="str">
        <f ca="1">IFERROR(__xludf.DUMMYFUNCTION("""COMPUTED_VALUE"""),"None")</f>
        <v>None</v>
      </c>
      <c r="U78" s="64" t="str">
        <f ca="1">IFERROR(__xludf.DUMMYFUNCTION("""COMPUTED_VALUE"""),"None")</f>
        <v>None</v>
      </c>
      <c r="V78" s="64" t="str">
        <f ca="1">IFERROR(__xludf.DUMMYFUNCTION("""COMPUTED_VALUE"""),"electricblueberry")</f>
        <v>electricblueberry</v>
      </c>
      <c r="W78" s="64" t="str">
        <f ca="1">IFERROR(__xludf.DUMMYFUNCTION("""COMPUTED_VALUE"""),"Ranged")</f>
        <v>Ranged</v>
      </c>
      <c r="X78" s="64" t="str">
        <f ca="1">IFERROR(__xludf.DUMMYFUNCTION("""COMPUTED_VALUE"""),"PvZ 2, PvZ 2 Chinease, PvZ Heroes")</f>
        <v>PvZ 2, PvZ 2 Chinease, PvZ Heroes</v>
      </c>
      <c r="Y78" s="65" t="str">
        <f ca="1">IFERROR(__xludf.DUMMYFUNCTION("""COMPUTED_VALUE"""),"https://static.wikia.nocookie.net/plantsvszombies/images/6/6d/Electric_Blueberry2.png/revision/latest?cb=20150916015743")</f>
        <v>https://static.wikia.nocookie.net/plantsvszombies/images/6/6d/Electric_Blueberry2.png/revision/latest?cb=20150916015743</v>
      </c>
    </row>
    <row r="79" spans="1:25" x14ac:dyDescent="0.2">
      <c r="A79" s="64">
        <f ca="1">IFERROR(__xludf.DUMMYFUNCTION("""COMPUTED_VALUE"""),78)</f>
        <v>78</v>
      </c>
      <c r="B79" s="64" t="str">
        <f ca="1">IFERROR(__xludf.DUMMYFUNCTION("""COMPUTED_VALUE"""),"Jack O'Lantern")</f>
        <v>Jack O'Lantern</v>
      </c>
      <c r="C79" s="64" t="str">
        <f ca="1">IFERROR(__xludf.DUMMYFUNCTION("""COMPUTED_VALUE"""),"Lanterror")</f>
        <v>Lanterror</v>
      </c>
      <c r="D79" s="64" t="str">
        <f ca="1">IFERROR(__xludf.DUMMYFUNCTION("""COMPUTED_VALUE"""),"Aquecida")</f>
        <v>Aquecida</v>
      </c>
      <c r="E79" s="64" t="str">
        <f ca="1">IFERROR(__xludf.DUMMYFUNCTION("""COMPUTED_VALUE"""),"Incendeia uma área próxima.")</f>
        <v>Incendeia uma área próxima.</v>
      </c>
      <c r="F79" s="64">
        <f ca="1">IFERROR(__xludf.DUMMYFUNCTION("""COMPUTED_VALUE"""),225)</f>
        <v>225</v>
      </c>
      <c r="G79" s="64">
        <f ca="1">IFERROR(__xludf.DUMMYFUNCTION("""COMPUTED_VALUE"""),300)</f>
        <v>300</v>
      </c>
      <c r="H79" s="64">
        <f ca="1">IFERROR(__xludf.DUMMYFUNCTION("""COMPUTED_VALUE"""),300)</f>
        <v>300</v>
      </c>
      <c r="I79" s="64">
        <f ca="1">IFERROR(__xludf.DUMMYFUNCTION("""COMPUTED_VALUE"""),20)</f>
        <v>20</v>
      </c>
      <c r="J79" s="64" t="str">
        <f ca="1">IFERROR(__xludf.DUMMYFUNCTION("""COMPUTED_VALUE"""),"Summons 5 green ghosts on random tiles on the lawn, that continuously deal fire damage to zombies.")</f>
        <v>Summons 5 green ghosts on random tiles on the lawn, that continuously deal fire damage to zombies.</v>
      </c>
      <c r="K79" s="64"/>
      <c r="L79" s="64" t="str">
        <f ca="1">IFERROR(__xludf.DUMMYFUNCTION("""COMPUTED_VALUE"""),"Special - Fire recharges over time")</f>
        <v>Special - Fire recharges over time</v>
      </c>
      <c r="M79" s="64" t="b">
        <f ca="1">IFERROR(__xludf.DUMMYFUNCTION("""COMPUTED_VALUE"""),FALSE)</f>
        <v>0</v>
      </c>
      <c r="N79" s="64" t="b">
        <f ca="1">IFERROR(__xludf.DUMMYFUNCTION("""COMPUTED_VALUE"""),FALSE)</f>
        <v>0</v>
      </c>
      <c r="O79" s="64">
        <f ca="1">IFERROR(__xludf.DUMMYFUNCTION("""COMPUTED_VALUE"""),0)</f>
        <v>0</v>
      </c>
      <c r="P79" s="64" t="str">
        <f ca="1">IFERROR(__xludf.DUMMYFUNCTION("""COMPUTED_VALUE"""),"Rare")</f>
        <v>Rare</v>
      </c>
      <c r="Q79" s="64" t="str">
        <f ca="1">IFERROR(__xludf.DUMMYFUNCTION("""COMPUTED_VALUE"""),"area-effect")</f>
        <v>area-effect</v>
      </c>
      <c r="R79" s="64" t="str">
        <f ca="1">IFERROR(__xludf.DUMMYFUNCTION("""COMPUTED_VALUE"""),"Vegetable")</f>
        <v>Vegetable</v>
      </c>
      <c r="S79" s="64" t="str">
        <f ca="1">IFERROR(__xludf.DUMMYFUNCTION("""COMPUTED_VALUE"""),"Premium")</f>
        <v>Premium</v>
      </c>
      <c r="T79" s="64" t="str">
        <f ca="1">IFERROR(__xludf.DUMMYFUNCTION("""COMPUTED_VALUE"""),"None")</f>
        <v>None</v>
      </c>
      <c r="U79" s="64" t="str">
        <f ca="1">IFERROR(__xludf.DUMMYFUNCTION("""COMPUTED_VALUE"""),"None")</f>
        <v>None</v>
      </c>
      <c r="V79" s="64" t="str">
        <f ca="1">IFERROR(__xludf.DUMMYFUNCTION("""COMPUTED_VALUE"""),"jackolantern")</f>
        <v>jackolantern</v>
      </c>
      <c r="W79" s="64" t="str">
        <f ca="1">IFERROR(__xludf.DUMMYFUNCTION("""COMPUTED_VALUE"""),"Vanguard")</f>
        <v>Vanguard</v>
      </c>
      <c r="X79" s="64" t="str">
        <f ca="1">IFERROR(__xludf.DUMMYFUNCTION("""COMPUTED_VALUE"""),"PvZ 2, PvZ 2 Chinease, PvZ Heroes")</f>
        <v>PvZ 2, PvZ 2 Chinease, PvZ Heroes</v>
      </c>
      <c r="Y79" s="65" t="str">
        <f ca="1">IFERROR(__xludf.DUMMYFUNCTION("""COMPUTED_VALUE"""),"https://static.wikia.nocookie.net/plantsvszombies/images/9/9a/Jack_O%27_Lantern2.png/revision/latest?cb=20160904215028")</f>
        <v>https://static.wikia.nocookie.net/plantsvszombies/images/9/9a/Jack_O%27_Lantern2.png/revision/latest?cb=20160904215028</v>
      </c>
    </row>
    <row r="80" spans="1:25" x14ac:dyDescent="0.2">
      <c r="A80" s="64">
        <f ca="1">IFERROR(__xludf.DUMMYFUNCTION("""COMPUTED_VALUE"""),79)</f>
        <v>79</v>
      </c>
      <c r="B80" s="64" t="str">
        <f ca="1">IFERROR(__xludf.DUMMYFUNCTION("""COMPUTED_VALUE"""),"Grapeshot")</f>
        <v>Grapeshot</v>
      </c>
      <c r="C80" s="64" t="str">
        <f ca="1">IFERROR(__xludf.DUMMYFUNCTION("""COMPUTED_VALUE"""),"Tiruvão")</f>
        <v>Tiruvão</v>
      </c>
      <c r="D80" s="64" t="str">
        <f ca="1">IFERROR(__xludf.DUMMYFUNCTION("""COMPUTED_VALUE"""),"Bombarda")</f>
        <v>Bombarda</v>
      </c>
      <c r="E80" s="64" t="str">
        <f ca="1">IFERROR(__xludf.DUMMYFUNCTION("""COMPUTED_VALUE"""),"Explode causando dano ainda pós a explosão.")</f>
        <v>Explode causando dano ainda pós a explosão.</v>
      </c>
      <c r="F80" s="64">
        <f ca="1">IFERROR(__xludf.DUMMYFUNCTION("""COMPUTED_VALUE"""),150)</f>
        <v>150</v>
      </c>
      <c r="G80" s="64">
        <f ca="1">IFERROR(__xludf.DUMMYFUNCTION("""COMPUTED_VALUE"""),0)</f>
        <v>0</v>
      </c>
      <c r="H80" s="64">
        <f ca="1">IFERROR(__xludf.DUMMYFUNCTION("""COMPUTED_VALUE"""),1800)</f>
        <v>1800</v>
      </c>
      <c r="I80" s="64">
        <f ca="1">IFERROR(__xludf.DUMMYFUNCTION("""COMPUTED_VALUE"""),35)</f>
        <v>35</v>
      </c>
      <c r="J80" s="64" t="str">
        <f ca="1">IFERROR(__xludf.DUMMYFUNCTION("""COMPUTED_VALUE"""),"No Plant Food effect.")</f>
        <v>No Plant Food effect.</v>
      </c>
      <c r="K80" s="64"/>
      <c r="L80" s="64"/>
      <c r="M80" s="64" t="b">
        <f ca="1">IFERROR(__xludf.DUMMYFUNCTION("""COMPUTED_VALUE"""),TRUE)</f>
        <v>1</v>
      </c>
      <c r="N80" s="64" t="b">
        <f ca="1">IFERROR(__xludf.DUMMYFUNCTION("""COMPUTED_VALUE"""),TRUE)</f>
        <v>1</v>
      </c>
      <c r="O80" s="64">
        <f ca="1">IFERROR(__xludf.DUMMYFUNCTION("""COMPUTED_VALUE"""),0)</f>
        <v>0</v>
      </c>
      <c r="P80" s="64" t="str">
        <f ca="1">IFERROR(__xludf.DUMMYFUNCTION("""COMPUTED_VALUE"""),"Rare")</f>
        <v>Rare</v>
      </c>
      <c r="Q80" s="64" t="str">
        <f ca="1">IFERROR(__xludf.DUMMYFUNCTION("""COMPUTED_VALUE"""),"area-effect, explosion")</f>
        <v>area-effect, explosion</v>
      </c>
      <c r="R80" s="64" t="str">
        <f ca="1">IFERROR(__xludf.DUMMYFUNCTION("""COMPUTED_VALUE"""),"Berry")</f>
        <v>Berry</v>
      </c>
      <c r="S80" s="64" t="str">
        <f ca="1">IFERROR(__xludf.DUMMYFUNCTION("""COMPUTED_VALUE"""),"Premium")</f>
        <v>Premium</v>
      </c>
      <c r="T80" s="64" t="str">
        <f ca="1">IFERROR(__xludf.DUMMYFUNCTION("""COMPUTED_VALUE"""),"None")</f>
        <v>None</v>
      </c>
      <c r="U80" s="64" t="str">
        <f ca="1">IFERROR(__xludf.DUMMYFUNCTION("""COMPUTED_VALUE"""),"None")</f>
        <v>None</v>
      </c>
      <c r="V80" s="64" t="str">
        <f ca="1">IFERROR(__xludf.DUMMYFUNCTION("""COMPUTED_VALUE"""),"grapeshot")</f>
        <v>grapeshot</v>
      </c>
      <c r="W80" s="64" t="str">
        <f ca="1">IFERROR(__xludf.DUMMYFUNCTION("""COMPUTED_VALUE"""),"Special")</f>
        <v>Special</v>
      </c>
      <c r="X80" s="64" t="str">
        <f ca="1">IFERROR(__xludf.DUMMYFUNCTION("""COMPUTED_VALUE"""),"PvZ 2, PvZ 2 Chinease, PvZ Heroes, PvZ 3")</f>
        <v>PvZ 2, PvZ 2 Chinease, PvZ Heroes, PvZ 3</v>
      </c>
      <c r="Y80" s="65" t="str">
        <f ca="1">IFERROR(__xludf.DUMMYFUNCTION("""COMPUTED_VALUE"""),"https://static.wikia.nocookie.net/plantsvszombies/images/3/38/Grapeshot2.png/revision/latest?cb=20151018042852")</f>
        <v>https://static.wikia.nocookie.net/plantsvszombies/images/3/38/Grapeshot2.png/revision/latest?cb=20151018042852</v>
      </c>
    </row>
    <row r="81" spans="1:25" x14ac:dyDescent="0.2">
      <c r="A81" s="64">
        <f ca="1">IFERROR(__xludf.DUMMYFUNCTION("""COMPUTED_VALUE"""),80)</f>
        <v>80</v>
      </c>
      <c r="B81" s="64" t="str">
        <f ca="1">IFERROR(__xludf.DUMMYFUNCTION("""COMPUTED_VALUE"""),"Cold Snapdragon")</f>
        <v>Cold Snapdragon</v>
      </c>
      <c r="C81" s="64" t="str">
        <f ca="1">IFERROR(__xludf.DUMMYFUNCTION("""COMPUTED_VALUE"""),"Boca-de-Dragão Gelado")</f>
        <v>Boca-de-Dragão Gelado</v>
      </c>
      <c r="D81" s="64" t="str">
        <f ca="1">IFERROR(__xludf.DUMMYFUNCTION("""COMPUTED_VALUE"""),"Resfriada")</f>
        <v>Resfriada</v>
      </c>
      <c r="E81" s="64" t="str">
        <f ca="1">IFERROR(__xludf.DUMMYFUNCTION("""COMPUTED_VALUE"""),"Resfria zumbis próximos.")</f>
        <v>Resfria zumbis próximos.</v>
      </c>
      <c r="F81" s="64">
        <f ca="1">IFERROR(__xludf.DUMMYFUNCTION("""COMPUTED_VALUE"""),150)</f>
        <v>150</v>
      </c>
      <c r="G81" s="64">
        <f ca="1">IFERROR(__xludf.DUMMYFUNCTION("""COMPUTED_VALUE"""),300)</f>
        <v>300</v>
      </c>
      <c r="H81" s="64">
        <f ca="1">IFERROR(__xludf.DUMMYFUNCTION("""COMPUTED_VALUE"""),30)</f>
        <v>30</v>
      </c>
      <c r="I81" s="64">
        <f ca="1">IFERROR(__xludf.DUMMYFUNCTION("""COMPUTED_VALUE"""),5)</f>
        <v>5</v>
      </c>
      <c r="J81" s="64" t="str">
        <f ca="1">IFERROR(__xludf.DUMMYFUNCTION("""COMPUTED_VALUE"""),"Fires an ice blast in front, dealing heavy damage and either freezing or chilling zombies.")</f>
        <v>Fires an ice blast in front, dealing heavy damage and either freezing or chilling zombies.</v>
      </c>
      <c r="K81" s="64" t="str">
        <f ca="1">IFERROR(__xludf.DUMMYFUNCTION("""COMPUTED_VALUE"""),"Slows and damages zombies in the 6 tiles")</f>
        <v>Slows and damages zombies in the 6 tiles</v>
      </c>
      <c r="L81" s="64"/>
      <c r="M81" s="64" t="b">
        <f ca="1">IFERROR(__xludf.DUMMYFUNCTION("""COMPUTED_VALUE"""),FALSE)</f>
        <v>0</v>
      </c>
      <c r="N81" s="64" t="b">
        <f ca="1">IFERROR(__xludf.DUMMYFUNCTION("""COMPUTED_VALUE"""),FALSE)</f>
        <v>0</v>
      </c>
      <c r="O81" s="64">
        <f ca="1">IFERROR(__xludf.DUMMYFUNCTION("""COMPUTED_VALUE"""),0)</f>
        <v>0</v>
      </c>
      <c r="P81" s="64" t="str">
        <f ca="1">IFERROR(__xludf.DUMMYFUNCTION("""COMPUTED_VALUE"""),"Rare")</f>
        <v>Rare</v>
      </c>
      <c r="Q81" s="64" t="str">
        <f ca="1">IFERROR(__xludf.DUMMYFUNCTION("""COMPUTED_VALUE"""),"area-effect, chilling, dragon")</f>
        <v>area-effect, chilling, dragon</v>
      </c>
      <c r="R81" s="64" t="str">
        <f ca="1">IFERROR(__xludf.DUMMYFUNCTION("""COMPUTED_VALUE"""),"Flower")</f>
        <v>Flower</v>
      </c>
      <c r="S81" s="64" t="str">
        <f ca="1">IFERROR(__xludf.DUMMYFUNCTION("""COMPUTED_VALUE"""),"Premium")</f>
        <v>Premium</v>
      </c>
      <c r="T81" s="64" t="str">
        <f ca="1">IFERROR(__xludf.DUMMYFUNCTION("""COMPUTED_VALUE"""),"None")</f>
        <v>None</v>
      </c>
      <c r="U81" s="64" t="str">
        <f ca="1">IFERROR(__xludf.DUMMYFUNCTION("""COMPUTED_VALUE"""),"None")</f>
        <v>None</v>
      </c>
      <c r="V81" s="64" t="str">
        <f ca="1">IFERROR(__xludf.DUMMYFUNCTION("""COMPUTED_VALUE"""),"coldsnapdragon")</f>
        <v>coldsnapdragon</v>
      </c>
      <c r="W81" s="64" t="str">
        <f ca="1">IFERROR(__xludf.DUMMYFUNCTION("""COMPUTED_VALUE"""),"Vanguard")</f>
        <v>Vanguard</v>
      </c>
      <c r="X81" s="64" t="str">
        <f ca="1">IFERROR(__xludf.DUMMYFUNCTION("""COMPUTED_VALUE"""),"PvZ 2, PvZ 2 Chinease")</f>
        <v>PvZ 2, PvZ 2 Chinease</v>
      </c>
      <c r="Y81" s="65" t="str">
        <f ca="1">IFERROR(__xludf.DUMMYFUNCTION("""COMPUTED_VALUE"""),"https://static.wikia.nocookie.net/plantsvszombies/images/a/a0/Cold_Snapdragon2.png/revision/latest?cb=20151117120932")</f>
        <v>https://static.wikia.nocookie.net/plantsvszombies/images/a/a0/Cold_Snapdragon2.png/revision/latest?cb=20151117120932</v>
      </c>
    </row>
    <row r="82" spans="1:25" x14ac:dyDescent="0.2">
      <c r="A82" s="64">
        <f ca="1">IFERROR(__xludf.DUMMYFUNCTION("""COMPUTED_VALUE"""),81)</f>
        <v>81</v>
      </c>
      <c r="B82" s="64" t="str">
        <f ca="1">IFERROR(__xludf.DUMMYFUNCTION("""COMPUTED_VALUE"""),"Scape Root")</f>
        <v>Scape Root</v>
      </c>
      <c r="C82" s="64" t="str">
        <f ca="1">IFERROR(__xludf.DUMMYFUNCTION("""COMPUTED_VALUE"""),"Fugaíz")</f>
        <v>Fugaíz</v>
      </c>
      <c r="D82" s="64" t="str">
        <f ca="1">IFERROR(__xludf.DUMMYFUNCTION("""COMPUTED_VALUE"""),"Bombarda")</f>
        <v>Bombarda</v>
      </c>
      <c r="E82" s="64" t="str">
        <f ca="1">IFERROR(__xludf.DUMMYFUNCTION("""COMPUTED_VALUE"""),"Troca de lugar com outra planta, gerando uma planta bombarda em seu lugar.")</f>
        <v>Troca de lugar com outra planta, gerando uma planta bombarda em seu lugar.</v>
      </c>
      <c r="F82" s="64">
        <f ca="1">IFERROR(__xludf.DUMMYFUNCTION("""COMPUTED_VALUE"""),50)</f>
        <v>50</v>
      </c>
      <c r="G82" s="64">
        <f ca="1">IFERROR(__xludf.DUMMYFUNCTION("""COMPUTED_VALUE"""),300)</f>
        <v>300</v>
      </c>
      <c r="H82" s="64">
        <f ca="1">IFERROR(__xludf.DUMMYFUNCTION("""COMPUTED_VALUE"""),1800)</f>
        <v>1800</v>
      </c>
      <c r="I82" s="64">
        <f ca="1">IFERROR(__xludf.DUMMYFUNCTION("""COMPUTED_VALUE"""),20)</f>
        <v>20</v>
      </c>
      <c r="J82" s="64" t="str">
        <f ca="1">IFERROR(__xludf.DUMMYFUNCTION("""COMPUTED_VALUE"""),"Creates 2 copies of itself, one at a time, next to a zombie and transform into a random Bombard-mint plant.")</f>
        <v>Creates 2 copies of itself, one at a time, next to a zombie and transform into a random Bombard-mint plant.</v>
      </c>
      <c r="K82" s="64" t="str">
        <f ca="1">IFERROR(__xludf.DUMMYFUNCTION("""COMPUTED_VALUE"""),"Tap Escape Root and another plant to swap them")</f>
        <v>Tap Escape Root and another plant to swap them</v>
      </c>
      <c r="L82" s="64"/>
      <c r="M82" s="64" t="b">
        <f ca="1">IFERROR(__xludf.DUMMYFUNCTION("""COMPUTED_VALUE"""),FALSE)</f>
        <v>0</v>
      </c>
      <c r="N82" s="64" t="b">
        <f ca="1">IFERROR(__xludf.DUMMYFUNCTION("""COMPUTED_VALUE"""),FALSE)</f>
        <v>0</v>
      </c>
      <c r="O82" s="64">
        <f ca="1">IFERROR(__xludf.DUMMYFUNCTION("""COMPUTED_VALUE"""),0)</f>
        <v>0</v>
      </c>
      <c r="P82" s="64" t="str">
        <f ca="1">IFERROR(__xludf.DUMMYFUNCTION("""COMPUTED_VALUE"""),"Uncommon")</f>
        <v>Uncommon</v>
      </c>
      <c r="Q82" s="64" t="str">
        <f ca="1">IFERROR(__xludf.DUMMYFUNCTION("""COMPUTED_VALUE"""),"control")</f>
        <v>control</v>
      </c>
      <c r="R82" s="64" t="str">
        <f ca="1">IFERROR(__xludf.DUMMYFUNCTION("""COMPUTED_VALUE"""),"Root")</f>
        <v>Root</v>
      </c>
      <c r="S82" s="64" t="str">
        <f ca="1">IFERROR(__xludf.DUMMYFUNCTION("""COMPUTED_VALUE"""),"Premium")</f>
        <v>Premium</v>
      </c>
      <c r="T82" s="64" t="str">
        <f ca="1">IFERROR(__xludf.DUMMYFUNCTION("""COMPUTED_VALUE"""),"None")</f>
        <v>None</v>
      </c>
      <c r="U82" s="64" t="str">
        <f ca="1">IFERROR(__xludf.DUMMYFUNCTION("""COMPUTED_VALUE"""),"None")</f>
        <v>None</v>
      </c>
      <c r="V82" s="64" t="str">
        <f ca="1">IFERROR(__xludf.DUMMYFUNCTION("""COMPUTED_VALUE"""),"escaperoot")</f>
        <v>escaperoot</v>
      </c>
      <c r="W82" s="64" t="str">
        <f ca="1">IFERROR(__xludf.DUMMYFUNCTION("""COMPUTED_VALUE"""),"Special")</f>
        <v>Special</v>
      </c>
      <c r="X82" s="64" t="str">
        <f ca="1">IFERROR(__xludf.DUMMYFUNCTION("""COMPUTED_VALUE"""),"PvZ 2, PvZ 2 Chinease")</f>
        <v>PvZ 2, PvZ 2 Chinease</v>
      </c>
      <c r="Y82" s="65" t="str">
        <f ca="1">IFERROR(__xludf.DUMMYFUNCTION("""COMPUTED_VALUE"""),"https://static.wikia.nocookie.net/plantsvszombies/images/2/2c/Escape_Root2.png/revision/latest?cb=20160827035308")</f>
        <v>https://static.wikia.nocookie.net/plantsvszombies/images/2/2c/Escape_Root2.png/revision/latest?cb=20160827035308</v>
      </c>
    </row>
    <row r="83" spans="1:25" x14ac:dyDescent="0.2">
      <c r="A83" s="64">
        <f ca="1">IFERROR(__xludf.DUMMYFUNCTION("""COMPUTED_VALUE"""),82)</f>
        <v>82</v>
      </c>
      <c r="B83" s="64" t="str">
        <f ca="1">IFERROR(__xludf.DUMMYFUNCTION("""COMPUTED_VALUE"""),"Gold Bloom")</f>
        <v>Gold Bloom</v>
      </c>
      <c r="C83" s="64" t="str">
        <f ca="1">IFERROR(__xludf.DUMMYFUNCTION("""COMPUTED_VALUE"""),"Broto Dourado")</f>
        <v>Broto Dourado</v>
      </c>
      <c r="D83" s="64" t="str">
        <f ca="1">IFERROR(__xludf.DUMMYFUNCTION("""COMPUTED_VALUE"""),"Esclarecida")</f>
        <v>Esclarecida</v>
      </c>
      <c r="E83" s="64" t="str">
        <f ca="1">IFERROR(__xludf.DUMMYFUNCTION("""COMPUTED_VALUE"""),"Gera uma explosão de sóis.")</f>
        <v>Gera uma explosão de sóis.</v>
      </c>
      <c r="F83" s="64">
        <f ca="1">IFERROR(__xludf.DUMMYFUNCTION("""COMPUTED_VALUE"""),0)</f>
        <v>0</v>
      </c>
      <c r="G83" s="64">
        <f ca="1">IFERROR(__xludf.DUMMYFUNCTION("""COMPUTED_VALUE"""),1)</f>
        <v>1</v>
      </c>
      <c r="H83" s="64">
        <f ca="1">IFERROR(__xludf.DUMMYFUNCTION("""COMPUTED_VALUE"""),0)</f>
        <v>0</v>
      </c>
      <c r="I83" s="64">
        <f ca="1">IFERROR(__xludf.DUMMYFUNCTION("""COMPUTED_VALUE"""),75)</f>
        <v>75</v>
      </c>
      <c r="J83" s="64" t="str">
        <f ca="1">IFERROR(__xludf.DUMMYFUNCTION("""COMPUTED_VALUE"""),"No Plant Food effect.")</f>
        <v>No Plant Food effect.</v>
      </c>
      <c r="K83" s="64"/>
      <c r="L83" s="64"/>
      <c r="M83" s="64" t="b">
        <f ca="1">IFERROR(__xludf.DUMMYFUNCTION("""COMPUTED_VALUE"""),TRUE)</f>
        <v>1</v>
      </c>
      <c r="N83" s="64" t="b">
        <f ca="1">IFERROR(__xludf.DUMMYFUNCTION("""COMPUTED_VALUE"""),TRUE)</f>
        <v>1</v>
      </c>
      <c r="O83" s="64">
        <f ca="1">IFERROR(__xludf.DUMMYFUNCTION("""COMPUTED_VALUE"""),375)</f>
        <v>375</v>
      </c>
      <c r="P83" s="64" t="str">
        <f ca="1">IFERROR(__xludf.DUMMYFUNCTION("""COMPUTED_VALUE"""),"Rare")</f>
        <v>Rare</v>
      </c>
      <c r="Q83" s="64"/>
      <c r="R83" s="64" t="str">
        <f ca="1">IFERROR(__xludf.DUMMYFUNCTION("""COMPUTED_VALUE"""),"Leaf")</f>
        <v>Leaf</v>
      </c>
      <c r="S83" s="64" t="str">
        <f ca="1">IFERROR(__xludf.DUMMYFUNCTION("""COMPUTED_VALUE"""),"Premium")</f>
        <v>Premium</v>
      </c>
      <c r="T83" s="64" t="str">
        <f ca="1">IFERROR(__xludf.DUMMYFUNCTION("""COMPUTED_VALUE"""),"None")</f>
        <v>None</v>
      </c>
      <c r="U83" s="64" t="str">
        <f ca="1">IFERROR(__xludf.DUMMYFUNCTION("""COMPUTED_VALUE"""),"None")</f>
        <v>None</v>
      </c>
      <c r="V83" s="64" t="str">
        <f ca="1">IFERROR(__xludf.DUMMYFUNCTION("""COMPUTED_VALUE"""),"goldbloom")</f>
        <v>goldbloom</v>
      </c>
      <c r="W83" s="64" t="str">
        <f ca="1">IFERROR(__xludf.DUMMYFUNCTION("""COMPUTED_VALUE"""),"Sun")</f>
        <v>Sun</v>
      </c>
      <c r="X83" s="64" t="str">
        <f ca="1">IFERROR(__xludf.DUMMYFUNCTION("""COMPUTED_VALUE"""),"PvZ 2, PvZ 2 Chinease")</f>
        <v>PvZ 2, PvZ 2 Chinease</v>
      </c>
      <c r="Y83" s="65" t="str">
        <f ca="1">IFERROR(__xludf.DUMMYFUNCTION("""COMPUTED_VALUE"""),"https://static.wikia.nocookie.net/plantsvszombies/images/3/35/Gold_Bloom2.png/revision/latest?cb=20160818002941")</f>
        <v>https://static.wikia.nocookie.net/plantsvszombies/images/3/35/Gold_Bloom2.png/revision/latest?cb=20160818002941</v>
      </c>
    </row>
    <row r="84" spans="1:25" x14ac:dyDescent="0.2">
      <c r="A84" s="64">
        <f ca="1">IFERROR(__xludf.DUMMYFUNCTION("""COMPUTED_VALUE"""),83)</f>
        <v>83</v>
      </c>
      <c r="B84" s="64" t="str">
        <f ca="1">IFERROR(__xludf.DUMMYFUNCTION("""COMPUTED_VALUE"""),"Wasabi Whip")</f>
        <v>Wasabi Whip</v>
      </c>
      <c r="C84" s="64" t="str">
        <f ca="1">IFERROR(__xludf.DUMMYFUNCTION("""COMPUTED_VALUE"""),"Chicote de wasabi")</f>
        <v>Chicote de wasabi</v>
      </c>
      <c r="D84" s="64" t="str">
        <f ca="1">IFERROR(__xludf.DUMMYFUNCTION("""COMPUTED_VALUE"""),"Surra")</f>
        <v>Surra</v>
      </c>
      <c r="E84" s="64" t="str">
        <f ca="1">IFERROR(__xludf.DUMMYFUNCTION("""COMPUTED_VALUE"""),"Golpeia com seu chicote flamejante os zumbis.")</f>
        <v>Golpeia com seu chicote flamejante os zumbis.</v>
      </c>
      <c r="F84" s="64">
        <f ca="1">IFERROR(__xludf.DUMMYFUNCTION("""COMPUTED_VALUE"""),150)</f>
        <v>150</v>
      </c>
      <c r="G84" s="64">
        <f ca="1">IFERROR(__xludf.DUMMYFUNCTION("""COMPUTED_VALUE"""),300)</f>
        <v>300</v>
      </c>
      <c r="H84" s="64">
        <f ca="1">IFERROR(__xludf.DUMMYFUNCTION("""COMPUTED_VALUE"""),40)</f>
        <v>40</v>
      </c>
      <c r="I84" s="64">
        <f ca="1">IFERROR(__xludf.DUMMYFUNCTION("""COMPUTED_VALUE"""),5)</f>
        <v>5</v>
      </c>
      <c r="J84" s="64" t="str">
        <f ca="1">IFERROR(__xludf.DUMMYFUNCTION("""COMPUTED_VALUE"""),"Spin its flaming whip around, dealing heavy damage to zombies.")</f>
        <v>Spin its flaming whip around, dealing heavy damage to zombies.</v>
      </c>
      <c r="K84" s="64"/>
      <c r="L84" s="64" t="str">
        <f ca="1">IFERROR(__xludf.DUMMYFUNCTION("""COMPUTED_VALUE"""),"Special - Resists cold and warms plants around it")</f>
        <v>Special - Resists cold and warms plants around it</v>
      </c>
      <c r="M84" s="64" t="b">
        <f ca="1">IFERROR(__xludf.DUMMYFUNCTION("""COMPUTED_VALUE"""),FALSE)</f>
        <v>0</v>
      </c>
      <c r="N84" s="64" t="b">
        <f ca="1">IFERROR(__xludf.DUMMYFUNCTION("""COMPUTED_VALUE"""),FALSE)</f>
        <v>0</v>
      </c>
      <c r="O84" s="64">
        <f ca="1">IFERROR(__xludf.DUMMYFUNCTION("""COMPUTED_VALUE"""),0)</f>
        <v>0</v>
      </c>
      <c r="P84" s="64" t="str">
        <f ca="1">IFERROR(__xludf.DUMMYFUNCTION("""COMPUTED_VALUE"""),"Rare")</f>
        <v>Rare</v>
      </c>
      <c r="Q84" s="64" t="str">
        <f ca="1">IFERROR(__xludf.DUMMYFUNCTION("""COMPUTED_VALUE"""),"warm, attack_backwards")</f>
        <v>warm, attack_backwards</v>
      </c>
      <c r="R84" s="64" t="str">
        <f ca="1">IFERROR(__xludf.DUMMYFUNCTION("""COMPUTED_VALUE"""),"Root")</f>
        <v>Root</v>
      </c>
      <c r="S84" s="64" t="str">
        <f ca="1">IFERROR(__xludf.DUMMYFUNCTION("""COMPUTED_VALUE"""),"Premium")</f>
        <v>Premium</v>
      </c>
      <c r="T84" s="64" t="str">
        <f ca="1">IFERROR(__xludf.DUMMYFUNCTION("""COMPUTED_VALUE"""),"None")</f>
        <v>None</v>
      </c>
      <c r="U84" s="64" t="str">
        <f ca="1">IFERROR(__xludf.DUMMYFUNCTION("""COMPUTED_VALUE"""),"None")</f>
        <v>None</v>
      </c>
      <c r="V84" s="64" t="str">
        <f ca="1">IFERROR(__xludf.DUMMYFUNCTION("""COMPUTED_VALUE"""),"wasabiwhip")</f>
        <v>wasabiwhip</v>
      </c>
      <c r="W84" s="64" t="str">
        <f ca="1">IFERROR(__xludf.DUMMYFUNCTION("""COMPUTED_VALUE"""),"Vanguard")</f>
        <v>Vanguard</v>
      </c>
      <c r="X84" s="64" t="str">
        <f ca="1">IFERROR(__xludf.DUMMYFUNCTION("""COMPUTED_VALUE"""),"PvZ 2, PvZ 2 Chinease")</f>
        <v>PvZ 2, PvZ 2 Chinease</v>
      </c>
      <c r="Y84" s="65" t="str">
        <f ca="1">IFERROR(__xludf.DUMMYFUNCTION("""COMPUTED_VALUE"""),"https://static.wikia.nocookie.net/plantsvszombies/images/1/15/Wasabi_Whip2.png/revision/latest?cb=20160818065339")</f>
        <v>https://static.wikia.nocookie.net/plantsvszombies/images/1/15/Wasabi_Whip2.png/revision/latest?cb=20160818065339</v>
      </c>
    </row>
    <row r="85" spans="1:25" x14ac:dyDescent="0.2">
      <c r="A85" s="64">
        <f ca="1">IFERROR(__xludf.DUMMYFUNCTION("""COMPUTED_VALUE"""),84)</f>
        <v>84</v>
      </c>
      <c r="B85" s="64" t="str">
        <f ca="1">IFERROR(__xludf.DUMMYFUNCTION("""COMPUTED_VALUE"""),"Apple Mortar")</f>
        <v>Apple Mortar</v>
      </c>
      <c r="C85" s="64" t="str">
        <f ca="1">IFERROR(__xludf.DUMMYFUNCTION("""COMPUTED_VALUE"""),"Maçã Morteiro")</f>
        <v>Maçã Morteiro</v>
      </c>
      <c r="D85" s="64" t="str">
        <f ca="1">IFERROR(__xludf.DUMMYFUNCTION("""COMPUTED_VALUE"""),"Arma")</f>
        <v>Arma</v>
      </c>
      <c r="E85" s="64" t="str">
        <f ca="1">IFERROR(__xludf.DUMMYFUNCTION("""COMPUTED_VALUE"""),"Dispara projeteis em parábola em três colunas, podendo paralizar zumbis.")</f>
        <v>Dispara projeteis em parábola em três colunas, podendo paralizar zumbis.</v>
      </c>
      <c r="F85" s="64">
        <f ca="1">IFERROR(__xludf.DUMMYFUNCTION("""COMPUTED_VALUE"""),250)</f>
        <v>250</v>
      </c>
      <c r="G85" s="64">
        <f ca="1">IFERROR(__xludf.DUMMYFUNCTION("""COMPUTED_VALUE"""),300)</f>
        <v>300</v>
      </c>
      <c r="H85" s="64">
        <f ca="1">IFERROR(__xludf.DUMMYFUNCTION("""COMPUTED_VALUE"""),30)</f>
        <v>30</v>
      </c>
      <c r="I85" s="64">
        <f ca="1">IFERROR(__xludf.DUMMYFUNCTION("""COMPUTED_VALUE"""),8)</f>
        <v>8</v>
      </c>
      <c r="J85" s="64" t="str">
        <f ca="1">IFERROR(__xludf.DUMMYFUNCTION("""COMPUTED_VALUE"""),"Lobs large apples at every zombie on the lawn, dealing damage and temporarily stunning them.")</f>
        <v>Lobs large apples at every zombie on the lawn, dealing damage and temporarily stunning them.</v>
      </c>
      <c r="K85" s="64"/>
      <c r="L85" s="64"/>
      <c r="M85" s="64" t="b">
        <f ca="1">IFERROR(__xludf.DUMMYFUNCTION("""COMPUTED_VALUE"""),FALSE)</f>
        <v>0</v>
      </c>
      <c r="N85" s="64" t="b">
        <f ca="1">IFERROR(__xludf.DUMMYFUNCTION("""COMPUTED_VALUE"""),FALSE)</f>
        <v>0</v>
      </c>
      <c r="O85" s="64">
        <f ca="1">IFERROR(__xludf.DUMMYFUNCTION("""COMPUTED_VALUE"""),0)</f>
        <v>0</v>
      </c>
      <c r="P85" s="64" t="str">
        <f ca="1">IFERROR(__xludf.DUMMYFUNCTION("""COMPUTED_VALUE"""),"Rare")</f>
        <v>Rare</v>
      </c>
      <c r="Q85" s="64" t="str">
        <f ca="1">IFERROR(__xludf.DUMMYFUNCTION("""COMPUTED_VALUE"""),"stun, area-effect")</f>
        <v>stun, area-effect</v>
      </c>
      <c r="R85" s="64" t="str">
        <f ca="1">IFERROR(__xludf.DUMMYFUNCTION("""COMPUTED_VALUE"""),"Fruit")</f>
        <v>Fruit</v>
      </c>
      <c r="S85" s="64" t="str">
        <f ca="1">IFERROR(__xludf.DUMMYFUNCTION("""COMPUTED_VALUE"""),"Premium")</f>
        <v>Premium</v>
      </c>
      <c r="T85" s="64" t="str">
        <f ca="1">IFERROR(__xludf.DUMMYFUNCTION("""COMPUTED_VALUE"""),"None")</f>
        <v>None</v>
      </c>
      <c r="U85" s="64" t="str">
        <f ca="1">IFERROR(__xludf.DUMMYFUNCTION("""COMPUTED_VALUE"""),"None")</f>
        <v>None</v>
      </c>
      <c r="V85" s="64" t="str">
        <f ca="1">IFERROR(__xludf.DUMMYFUNCTION("""COMPUTED_VALUE"""),"applemortar")</f>
        <v>applemortar</v>
      </c>
      <c r="W85" s="64" t="str">
        <f ca="1">IFERROR(__xludf.DUMMYFUNCTION("""COMPUTED_VALUE"""),"Ranged")</f>
        <v>Ranged</v>
      </c>
      <c r="X85" s="64" t="str">
        <f ca="1">IFERROR(__xludf.DUMMYFUNCTION("""COMPUTED_VALUE"""),"PvZ 2, PvZ 2 Chinease")</f>
        <v>PvZ 2, PvZ 2 Chinease</v>
      </c>
      <c r="Y85" s="65" t="str">
        <f ca="1">IFERROR(__xludf.DUMMYFUNCTION("""COMPUTED_VALUE"""),"https://static.wikia.nocookie.net/plantsvszombies/images/3/39/Apple_Mortar2.png/revision/latest?cb=20160924095708")</f>
        <v>https://static.wikia.nocookie.net/plantsvszombies/images/3/39/Apple_Mortar2.png/revision/latest?cb=20160924095708</v>
      </c>
    </row>
    <row r="86" spans="1:25" x14ac:dyDescent="0.2">
      <c r="A86" s="64">
        <f ca="1">IFERROR(__xludf.DUMMYFUNCTION("""COMPUTED_VALUE"""),85)</f>
        <v>85</v>
      </c>
      <c r="B86" s="64" t="str">
        <f ca="1">IFERROR(__xludf.DUMMYFUNCTION("""COMPUTED_VALUE"""),"Witch Hazel")</f>
        <v>Witch Hazel</v>
      </c>
      <c r="C86" s="64" t="str">
        <f ca="1">IFERROR(__xludf.DUMMYFUNCTION("""COMPUTED_VALUE"""),"Bruxavelã")</f>
        <v>Bruxavelã</v>
      </c>
      <c r="D86" s="64" t="str">
        <f ca="1">IFERROR(__xludf.DUMMYFUNCTION("""COMPUTED_VALUE"""),"Encanta")</f>
        <v>Encanta</v>
      </c>
      <c r="E86" s="64" t="str">
        <f ca="1">IFERROR(__xludf.DUMMYFUNCTION("""COMPUTED_VALUE"""),"Transforma zumbis em plantas do tipo Cogumelo.")</f>
        <v>Transforma zumbis em plantas do tipo Cogumelo.</v>
      </c>
      <c r="F86" s="64">
        <f ca="1">IFERROR(__xludf.DUMMYFUNCTION("""COMPUTED_VALUE"""),200)</f>
        <v>200</v>
      </c>
      <c r="G86" s="64">
        <f ca="1">IFERROR(__xludf.DUMMYFUNCTION("""COMPUTED_VALUE"""),300)</f>
        <v>300</v>
      </c>
      <c r="H86" s="64">
        <f ca="1">IFERROR(__xludf.DUMMYFUNCTION("""COMPUTED_VALUE"""),1200)</f>
        <v>1200</v>
      </c>
      <c r="I86" s="64">
        <f ca="1">IFERROR(__xludf.DUMMYFUNCTION("""COMPUTED_VALUE"""),30)</f>
        <v>30</v>
      </c>
      <c r="J86" s="64" t="str">
        <f ca="1">IFERROR(__xludf.DUMMYFUNCTION("""COMPUTED_VALUE"""),"Transforms a random zombie into a Toadstool.")</f>
        <v>Transforms a random zombie into a Toadstool.</v>
      </c>
      <c r="K86" s="64"/>
      <c r="L86" s="64" t="str">
        <f ca="1">IFERROR(__xludf.DUMMYFUNCTION("""COMPUTED_VALUE"""),"Special - Prefers to target Wizard Zombies")</f>
        <v>Special - Prefers to target Wizard Zombies</v>
      </c>
      <c r="M86" s="64" t="b">
        <f ca="1">IFERROR(__xludf.DUMMYFUNCTION("""COMPUTED_VALUE"""),FALSE)</f>
        <v>0</v>
      </c>
      <c r="N86" s="64" t="b">
        <f ca="1">IFERROR(__xludf.DUMMYFUNCTION("""COMPUTED_VALUE"""),FALSE)</f>
        <v>0</v>
      </c>
      <c r="O86" s="64">
        <f ca="1">IFERROR(__xludf.DUMMYFUNCTION("""COMPUTED_VALUE"""),0)</f>
        <v>0</v>
      </c>
      <c r="P86" s="64" t="str">
        <f ca="1">IFERROR(__xludf.DUMMYFUNCTION("""COMPUTED_VALUE"""),"Rare")</f>
        <v>Rare</v>
      </c>
      <c r="Q86" s="64" t="str">
        <f ca="1">IFERROR(__xludf.DUMMYFUNCTION("""COMPUTED_VALUE"""),"control")</f>
        <v>control</v>
      </c>
      <c r="R86" s="64" t="str">
        <f ca="1">IFERROR(__xludf.DUMMYFUNCTION("""COMPUTED_VALUE"""),"Leaf")</f>
        <v>Leaf</v>
      </c>
      <c r="S86" s="64" t="str">
        <f ca="1">IFERROR(__xludf.DUMMYFUNCTION("""COMPUTED_VALUE"""),"Premium")</f>
        <v>Premium</v>
      </c>
      <c r="T86" s="64" t="str">
        <f ca="1">IFERROR(__xludf.DUMMYFUNCTION("""COMPUTED_VALUE"""),"None")</f>
        <v>None</v>
      </c>
      <c r="U86" s="64" t="str">
        <f ca="1">IFERROR(__xludf.DUMMYFUNCTION("""COMPUTED_VALUE"""),"None")</f>
        <v>None</v>
      </c>
      <c r="V86" s="64" t="str">
        <f ca="1">IFERROR(__xludf.DUMMYFUNCTION("""COMPUTED_VALUE"""),"witchhazel")</f>
        <v>witchhazel</v>
      </c>
      <c r="W86" s="64" t="str">
        <f ca="1">IFERROR(__xludf.DUMMYFUNCTION("""COMPUTED_VALUE"""),"Ranged")</f>
        <v>Ranged</v>
      </c>
      <c r="X86" s="64" t="str">
        <f ca="1">IFERROR(__xludf.DUMMYFUNCTION("""COMPUTED_VALUE"""),"PvZ 2, PvZ 2 Chinease, PvZ Heroes")</f>
        <v>PvZ 2, PvZ 2 Chinease, PvZ Heroes</v>
      </c>
      <c r="Y86" s="65" t="str">
        <f ca="1">IFERROR(__xludf.DUMMYFUNCTION("""COMPUTED_VALUE"""),"https://static.wikia.nocookie.net/plantsvszombies/images/b/bd/Witch_Hazel2.png/revision/latest?cb=20221130092709")</f>
        <v>https://static.wikia.nocookie.net/plantsvszombies/images/b/bd/Witch_Hazel2.png/revision/latest?cb=20221130092709</v>
      </c>
    </row>
    <row r="87" spans="1:25" x14ac:dyDescent="0.2">
      <c r="A87" s="64">
        <f ca="1">IFERROR(__xludf.DUMMYFUNCTION("""COMPUTED_VALUE"""),86)</f>
        <v>86</v>
      </c>
      <c r="B87" s="64" t="str">
        <f ca="1">IFERROR(__xludf.DUMMYFUNCTION("""COMPUTED_VALUE"""),"Parsnip")</f>
        <v>Parsnip</v>
      </c>
      <c r="C87" s="64" t="str">
        <f ca="1">IFERROR(__xludf.DUMMYFUNCTION("""COMPUTED_VALUE"""),"Pastigarra")</f>
        <v>Pastigarra</v>
      </c>
      <c r="D87" s="64" t="str">
        <f ca="1">IFERROR(__xludf.DUMMYFUNCTION("""COMPUTED_VALUE"""),"Surra")</f>
        <v>Surra</v>
      </c>
      <c r="E87" s="64" t="str">
        <f ca="1">IFERROR(__xludf.DUMMYFUNCTION("""COMPUTED_VALUE"""),"Usa golpes perfurantes em zumbis próximos, caso um zumbi se aproxime, ele avança em um poderoso ataque.")</f>
        <v>Usa golpes perfurantes em zumbis próximos, caso um zumbi se aproxime, ele avança em um poderoso ataque.</v>
      </c>
      <c r="F87" s="64">
        <f ca="1">IFERROR(__xludf.DUMMYFUNCTION("""COMPUTED_VALUE"""),150)</f>
        <v>150</v>
      </c>
      <c r="G87" s="64">
        <f ca="1">IFERROR(__xludf.DUMMYFUNCTION("""COMPUTED_VALUE"""),300)</f>
        <v>300</v>
      </c>
      <c r="H87" s="64">
        <f ca="1">IFERROR(__xludf.DUMMYFUNCTION("""COMPUTED_VALUE"""),80)</f>
        <v>80</v>
      </c>
      <c r="I87" s="64">
        <f ca="1">IFERROR(__xludf.DUMMYFUNCTION("""COMPUTED_VALUE"""),5)</f>
        <v>5</v>
      </c>
      <c r="J87" s="64" t="str">
        <f ca="1">IFERROR(__xludf.DUMMYFUNCTION("""COMPUTED_VALUE"""),"Knocks back every zombie in front and then summons two mini parsnips that will rush down the column.")</f>
        <v>Knocks back every zombie in front and then summons two mini parsnips that will rush down the column.</v>
      </c>
      <c r="K87" s="64"/>
      <c r="L87" s="64"/>
      <c r="M87" s="64" t="b">
        <f ca="1">IFERROR(__xludf.DUMMYFUNCTION("""COMPUTED_VALUE"""),FALSE)</f>
        <v>0</v>
      </c>
      <c r="N87" s="64" t="b">
        <f ca="1">IFERROR(__xludf.DUMMYFUNCTION("""COMPUTED_VALUE"""),FALSE)</f>
        <v>0</v>
      </c>
      <c r="O87" s="64">
        <f ca="1">IFERROR(__xludf.DUMMYFUNCTION("""COMPUTED_VALUE"""),0)</f>
        <v>0</v>
      </c>
      <c r="P87" s="64" t="str">
        <f ca="1">IFERROR(__xludf.DUMMYFUNCTION("""COMPUTED_VALUE"""),"Uncommon")</f>
        <v>Uncommon</v>
      </c>
      <c r="Q87" s="64"/>
      <c r="R87" s="64" t="str">
        <f ca="1">IFERROR(__xludf.DUMMYFUNCTION("""COMPUTED_VALUE"""),"Root")</f>
        <v>Root</v>
      </c>
      <c r="S87" s="64" t="str">
        <f ca="1">IFERROR(__xludf.DUMMYFUNCTION("""COMPUTED_VALUE"""),"Premium")</f>
        <v>Premium</v>
      </c>
      <c r="T87" s="64" t="str">
        <f ca="1">IFERROR(__xludf.DUMMYFUNCTION("""COMPUTED_VALUE"""),"None")</f>
        <v>None</v>
      </c>
      <c r="U87" s="64" t="str">
        <f ca="1">IFERROR(__xludf.DUMMYFUNCTION("""COMPUTED_VALUE"""),"None")</f>
        <v>None</v>
      </c>
      <c r="V87" s="64" t="str">
        <f ca="1">IFERROR(__xludf.DUMMYFUNCTION("""COMPUTED_VALUE"""),"parsnip")</f>
        <v>parsnip</v>
      </c>
      <c r="W87" s="64" t="str">
        <f ca="1">IFERROR(__xludf.DUMMYFUNCTION("""COMPUTED_VALUE"""),"Vanguard")</f>
        <v>Vanguard</v>
      </c>
      <c r="X87" s="64" t="str">
        <f ca="1">IFERROR(__xludf.DUMMYFUNCTION("""COMPUTED_VALUE"""),"PvZ 2, PvZ 2 Chinease")</f>
        <v>PvZ 2, PvZ 2 Chinease</v>
      </c>
      <c r="Y87" s="65" t="str">
        <f ca="1">IFERROR(__xludf.DUMMYFUNCTION("""COMPUTED_VALUE"""),"https://static.wikia.nocookie.net/plantsvszombies/images/5/5f/Parsnip2.png/revision/latest?cb=20220316060035")</f>
        <v>https://static.wikia.nocookie.net/plantsvszombies/images/5/5f/Parsnip2.png/revision/latest?cb=20220316060035</v>
      </c>
    </row>
    <row r="88" spans="1:25" x14ac:dyDescent="0.2">
      <c r="A88" s="64">
        <f ca="1">IFERROR(__xludf.DUMMYFUNCTION("""COMPUTED_VALUE"""),87)</f>
        <v>87</v>
      </c>
      <c r="B88" s="64" t="str">
        <f ca="1">IFERROR(__xludf.DUMMYFUNCTION("""COMPUTED_VALUE"""),"Missile Toe")</f>
        <v>Missile Toe</v>
      </c>
      <c r="C88" s="64" t="str">
        <f ca="1">IFERROR(__xludf.DUMMYFUNCTION("""COMPUTED_VALUE"""),"Viscoguete")</f>
        <v>Viscoguete</v>
      </c>
      <c r="D88" s="64" t="str">
        <f ca="1">IFERROR(__xludf.DUMMYFUNCTION("""COMPUTED_VALUE"""),"Resfriada")</f>
        <v>Resfriada</v>
      </c>
      <c r="E88" s="64" t="str">
        <f ca="1">IFERROR(__xludf.DUMMYFUNCTION("""COMPUTED_VALUE"""),"Dispara um míssel congelante e avassalador.")</f>
        <v>Dispara um míssel congelante e avassalador.</v>
      </c>
      <c r="F88" s="64">
        <f ca="1">IFERROR(__xludf.DUMMYFUNCTION("""COMPUTED_VALUE"""),500)</f>
        <v>500</v>
      </c>
      <c r="G88" s="64">
        <f ca="1">IFERROR(__xludf.DUMMYFUNCTION("""COMPUTED_VALUE"""),300)</f>
        <v>300</v>
      </c>
      <c r="H88" s="64">
        <f ca="1">IFERROR(__xludf.DUMMYFUNCTION("""COMPUTED_VALUE"""),1200)</f>
        <v>1200</v>
      </c>
      <c r="I88" s="64">
        <f ca="1">IFERROR(__xludf.DUMMYFUNCTION("""COMPUTED_VALUE"""),5)</f>
        <v>5</v>
      </c>
      <c r="J88" s="64" t="str">
        <f ca="1">IFERROR(__xludf.DUMMYFUNCTION("""COMPUTED_VALUE"""),"Launches multiple cold blasts at the random targets on the lawn.")</f>
        <v>Launches multiple cold blasts at the random targets on the lawn.</v>
      </c>
      <c r="K88" s="64" t="str">
        <f ca="1">IFERROR(__xludf.DUMMYFUNCTION("""COMPUTED_VALUE"""),"Range anywhere on lawn")</f>
        <v>Range anywhere on lawn</v>
      </c>
      <c r="L88" s="64" t="str">
        <f ca="1">IFERROR(__xludf.DUMMYFUNCTION("""COMPUTED_VALUE"""),"Special - On impact, explodes in small area")</f>
        <v>Special - On impact, explodes in small area</v>
      </c>
      <c r="M88" s="64" t="b">
        <f ca="1">IFERROR(__xludf.DUMMYFUNCTION("""COMPUTED_VALUE"""),FALSE)</f>
        <v>0</v>
      </c>
      <c r="N88" s="64" t="b">
        <f ca="1">IFERROR(__xludf.DUMMYFUNCTION("""COMPUTED_VALUE"""),FALSE)</f>
        <v>0</v>
      </c>
      <c r="O88" s="64">
        <f ca="1">IFERROR(__xludf.DUMMYFUNCTION("""COMPUTED_VALUE"""),0)</f>
        <v>0</v>
      </c>
      <c r="P88" s="64" t="str">
        <f ca="1">IFERROR(__xludf.DUMMYFUNCTION("""COMPUTED_VALUE"""),"Uncommon")</f>
        <v>Uncommon</v>
      </c>
      <c r="Q88" s="64" t="str">
        <f ca="1">IFERROR(__xludf.DUMMYFUNCTION("""COMPUTED_VALUE"""),"area-effect, chilling")</f>
        <v>area-effect, chilling</v>
      </c>
      <c r="R88" s="64" t="str">
        <f ca="1">IFERROR(__xludf.DUMMYFUNCTION("""COMPUTED_VALUE"""),"Leaf")</f>
        <v>Leaf</v>
      </c>
      <c r="S88" s="64" t="str">
        <f ca="1">IFERROR(__xludf.DUMMYFUNCTION("""COMPUTED_VALUE"""),"Premium")</f>
        <v>Premium</v>
      </c>
      <c r="T88" s="64" t="str">
        <f ca="1">IFERROR(__xludf.DUMMYFUNCTION("""COMPUTED_VALUE"""),"None")</f>
        <v>None</v>
      </c>
      <c r="U88" s="64" t="str">
        <f ca="1">IFERROR(__xludf.DUMMYFUNCTION("""COMPUTED_VALUE"""),"None")</f>
        <v>None</v>
      </c>
      <c r="V88" s="64" t="str">
        <f ca="1">IFERROR(__xludf.DUMMYFUNCTION("""COMPUTED_VALUE"""),"missiletoe")</f>
        <v>missiletoe</v>
      </c>
      <c r="W88" s="64" t="str">
        <f ca="1">IFERROR(__xludf.DUMMYFUNCTION("""COMPUTED_VALUE"""),"Ranged")</f>
        <v>Ranged</v>
      </c>
      <c r="X88" s="64" t="str">
        <f ca="1">IFERROR(__xludf.DUMMYFUNCTION("""COMPUTED_VALUE"""),"PvZ 2, PvZ 2 Chinease")</f>
        <v>PvZ 2, PvZ 2 Chinease</v>
      </c>
      <c r="Y88" s="65" t="str">
        <f ca="1">IFERROR(__xludf.DUMMYFUNCTION("""COMPUTED_VALUE"""),"https://static.wikia.nocookie.net/plantsvszombies/images/3/36/Missile_Toe2.png/revision/latest?cb=20161129080652")</f>
        <v>https://static.wikia.nocookie.net/plantsvszombies/images/3/36/Missile_Toe2.png/revision/latest?cb=20161129080652</v>
      </c>
    </row>
    <row r="89" spans="1:25" x14ac:dyDescent="0.2">
      <c r="A89" s="64">
        <f ca="1">IFERROR(__xludf.DUMMYFUNCTION("""COMPUTED_VALUE"""),88)</f>
        <v>88</v>
      </c>
      <c r="B89" s="64" t="str">
        <f ca="1">IFERROR(__xludf.DUMMYFUNCTION("""COMPUTED_VALUE"""),"Caulipower")</f>
        <v>Caulipower</v>
      </c>
      <c r="C89" s="64" t="str">
        <f ca="1">IFERROR(__xludf.DUMMYFUNCTION("""COMPUTED_VALUE"""),"Psicouve")</f>
        <v>Psicouve</v>
      </c>
      <c r="D89" s="64" t="str">
        <f ca="1">IFERROR(__xludf.DUMMYFUNCTION("""COMPUTED_VALUE"""),"Encanta")</f>
        <v>Encanta</v>
      </c>
      <c r="E89" s="64" t="str">
        <f ca="1">IFERROR(__xludf.DUMMYFUNCTION("""COMPUTED_VALUE"""),"Usa seu poder mental para hipnotizar zumbis e fazer lutarem por ele, entrando em modo de recarga.")</f>
        <v>Usa seu poder mental para hipnotizar zumbis e fazer lutarem por ele, entrando em modo de recarga.</v>
      </c>
      <c r="F89" s="64">
        <f ca="1">IFERROR(__xludf.DUMMYFUNCTION("""COMPUTED_VALUE"""),250)</f>
        <v>250</v>
      </c>
      <c r="G89" s="64">
        <f ca="1">IFERROR(__xludf.DUMMYFUNCTION("""COMPUTED_VALUE"""),300)</f>
        <v>300</v>
      </c>
      <c r="H89" s="64">
        <f ca="1">IFERROR(__xludf.DUMMYFUNCTION("""COMPUTED_VALUE"""),0)</f>
        <v>0</v>
      </c>
      <c r="I89" s="64">
        <f ca="1">IFERROR(__xludf.DUMMYFUNCTION("""COMPUTED_VALUE"""),45)</f>
        <v>45</v>
      </c>
      <c r="J89" s="64" t="str">
        <f ca="1">IFERROR(__xludf.DUMMYFUNCTION("""COMPUTED_VALUE"""),"Tosses 5 random zombies off the lawn.")</f>
        <v>Tosses 5 random zombies off the lawn.</v>
      </c>
      <c r="K89" s="64"/>
      <c r="L89" s="64" t="str">
        <f ca="1">IFERROR(__xludf.DUMMYFUNCTION("""COMPUTED_VALUE"""),"Special - Hovers above ground or water")</f>
        <v>Special - Hovers above ground or water</v>
      </c>
      <c r="M89" s="64" t="b">
        <f ca="1">IFERROR(__xludf.DUMMYFUNCTION("""COMPUTED_VALUE"""),FALSE)</f>
        <v>0</v>
      </c>
      <c r="N89" s="64" t="b">
        <f ca="1">IFERROR(__xludf.DUMMYFUNCTION("""COMPUTED_VALUE"""),FALSE)</f>
        <v>0</v>
      </c>
      <c r="O89" s="64">
        <f ca="1">IFERROR(__xludf.DUMMYFUNCTION("""COMPUTED_VALUE"""),0)</f>
        <v>0</v>
      </c>
      <c r="P89" s="64" t="str">
        <f ca="1">IFERROR(__xludf.DUMMYFUNCTION("""COMPUTED_VALUE"""),"Legendary")</f>
        <v>Legendary</v>
      </c>
      <c r="Q89" s="64" t="str">
        <f ca="1">IFERROR(__xludf.DUMMYFUNCTION("""COMPUTED_VALUE"""),"flying")</f>
        <v>flying</v>
      </c>
      <c r="R89" s="64" t="str">
        <f ca="1">IFERROR(__xludf.DUMMYFUNCTION("""COMPUTED_VALUE"""),"Leaf")</f>
        <v>Leaf</v>
      </c>
      <c r="S89" s="64" t="str">
        <f ca="1">IFERROR(__xludf.DUMMYFUNCTION("""COMPUTED_VALUE"""),"Premium")</f>
        <v>Premium</v>
      </c>
      <c r="T89" s="64" t="str">
        <f ca="1">IFERROR(__xludf.DUMMYFUNCTION("""COMPUTED_VALUE"""),"None")</f>
        <v>None</v>
      </c>
      <c r="U89" s="64" t="str">
        <f ca="1">IFERROR(__xludf.DUMMYFUNCTION("""COMPUTED_VALUE"""),"None")</f>
        <v>None</v>
      </c>
      <c r="V89" s="64" t="str">
        <f ca="1">IFERROR(__xludf.DUMMYFUNCTION("""COMPUTED_VALUE"""),"caulipower")</f>
        <v>caulipower</v>
      </c>
      <c r="W89" s="64" t="str">
        <f ca="1">IFERROR(__xludf.DUMMYFUNCTION("""COMPUTED_VALUE"""),"Ranged")</f>
        <v>Ranged</v>
      </c>
      <c r="X89" s="64" t="str">
        <f ca="1">IFERROR(__xludf.DUMMYFUNCTION("""COMPUTED_VALUE"""),"PvZ 2, PvZ 2 Chinease")</f>
        <v>PvZ 2, PvZ 2 Chinease</v>
      </c>
      <c r="Y89" s="65" t="str">
        <f ca="1">IFERROR(__xludf.DUMMYFUNCTION("""COMPUTED_VALUE"""),"https://static.wikia.nocookie.net/plantsvszombies/images/2/26/Caulipower2.png/revision/latest?cb=20170320194223")</f>
        <v>https://static.wikia.nocookie.net/plantsvszombies/images/2/26/Caulipower2.png/revision/latest?cb=20170320194223</v>
      </c>
    </row>
    <row r="90" spans="1:25" x14ac:dyDescent="0.2">
      <c r="A90" s="64">
        <f ca="1">IFERROR(__xludf.DUMMYFUNCTION("""COMPUTED_VALUE"""),89)</f>
        <v>89</v>
      </c>
      <c r="B90" s="64" t="str">
        <f ca="1">IFERROR(__xludf.DUMMYFUNCTION("""COMPUTED_VALUE"""),"Eletric Peashooter")</f>
        <v>Eletric Peashooter</v>
      </c>
      <c r="C90" s="64" t="str">
        <f ca="1">IFERROR(__xludf.DUMMYFUNCTION("""COMPUTED_VALUE"""),"Disparervilha Elétrica")</f>
        <v>Disparervilha Elétrica</v>
      </c>
      <c r="D90" s="64" t="str">
        <f ca="1">IFERROR(__xludf.DUMMYFUNCTION("""COMPUTED_VALUE"""),"Fila")</f>
        <v>Fila</v>
      </c>
      <c r="E90" s="64" t="str">
        <f ca="1">IFERROR(__xludf.DUMMYFUNCTION("""COMPUTED_VALUE"""),"Dispara ervilhas eletricas perfurante contra os zumbis.")</f>
        <v>Dispara ervilhas eletricas perfurante contra os zumbis.</v>
      </c>
      <c r="F90" s="64">
        <f ca="1">IFERROR(__xludf.DUMMYFUNCTION("""COMPUTED_VALUE"""),200)</f>
        <v>200</v>
      </c>
      <c r="G90" s="64">
        <f ca="1">IFERROR(__xludf.DUMMYFUNCTION("""COMPUTED_VALUE"""),300)</f>
        <v>300</v>
      </c>
      <c r="H90" s="64">
        <f ca="1">IFERROR(__xludf.DUMMYFUNCTION("""COMPUTED_VALUE"""),20)</f>
        <v>20</v>
      </c>
      <c r="I90" s="64">
        <f ca="1">IFERROR(__xludf.DUMMYFUNCTION("""COMPUTED_VALUE"""),5)</f>
        <v>5</v>
      </c>
      <c r="J90" s="64" t="str">
        <f ca="1">IFERROR(__xludf.DUMMYFUNCTION("""COMPUTED_VALUE"""),"Fires multiple large electric peas at the closest zombies. These peas explode and spread across the lawn.")</f>
        <v>Fires multiple large electric peas at the closest zombies. These peas explode and spread across the lawn.</v>
      </c>
      <c r="K90" s="64"/>
      <c r="L90" s="64"/>
      <c r="M90" s="64" t="b">
        <f ca="1">IFERROR(__xludf.DUMMYFUNCTION("""COMPUTED_VALUE"""),FALSE)</f>
        <v>0</v>
      </c>
      <c r="N90" s="64" t="b">
        <f ca="1">IFERROR(__xludf.DUMMYFUNCTION("""COMPUTED_VALUE"""),FALSE)</f>
        <v>0</v>
      </c>
      <c r="O90" s="64">
        <f ca="1">IFERROR(__xludf.DUMMYFUNCTION("""COMPUTED_VALUE"""),0)</f>
        <v>0</v>
      </c>
      <c r="P90" s="64" t="str">
        <f ca="1">IFERROR(__xludf.DUMMYFUNCTION("""COMPUTED_VALUE"""),"Epic")</f>
        <v>Epic</v>
      </c>
      <c r="Q90" s="64" t="str">
        <f ca="1">IFERROR(__xludf.DUMMYFUNCTION("""COMPUTED_VALUE"""),"chain_attack")</f>
        <v>chain_attack</v>
      </c>
      <c r="R90" s="64" t="str">
        <f ca="1">IFERROR(__xludf.DUMMYFUNCTION("""COMPUTED_VALUE"""),"Pea")</f>
        <v>Pea</v>
      </c>
      <c r="S90" s="64" t="str">
        <f ca="1">IFERROR(__xludf.DUMMYFUNCTION("""COMPUTED_VALUE"""),"Premium")</f>
        <v>Premium</v>
      </c>
      <c r="T90" s="64" t="str">
        <f ca="1">IFERROR(__xludf.DUMMYFUNCTION("""COMPUTED_VALUE"""),"None")</f>
        <v>None</v>
      </c>
      <c r="U90" s="64" t="str">
        <f ca="1">IFERROR(__xludf.DUMMYFUNCTION("""COMPUTED_VALUE"""),"None")</f>
        <v>None</v>
      </c>
      <c r="V90" s="64" t="str">
        <f ca="1">IFERROR(__xludf.DUMMYFUNCTION("""COMPUTED_VALUE"""),"electricpeashooter")</f>
        <v>electricpeashooter</v>
      </c>
      <c r="W90" s="64" t="str">
        <f ca="1">IFERROR(__xludf.DUMMYFUNCTION("""COMPUTED_VALUE"""),"Ranged")</f>
        <v>Ranged</v>
      </c>
      <c r="X90" s="64" t="str">
        <f ca="1">IFERROR(__xludf.DUMMYFUNCTION("""COMPUTED_VALUE"""),"PvZ 2, PvZ 2 Chinease, PvZ GW 2")</f>
        <v>PvZ 2, PvZ 2 Chinease, PvZ GW 2</v>
      </c>
      <c r="Y90" s="65" t="str">
        <f ca="1">IFERROR(__xludf.DUMMYFUNCTION("""COMPUTED_VALUE"""),"https://static.wikia.nocookie.net/plantsvszombies/images/f/f0/Electric_Peashooter2.png/revision/latest?cb=20170624163241")</f>
        <v>https://static.wikia.nocookie.net/plantsvszombies/images/f/f0/Electric_Peashooter2.png/revision/latest?cb=20170624163241</v>
      </c>
    </row>
    <row r="91" spans="1:25" x14ac:dyDescent="0.2">
      <c r="A91" s="64">
        <f ca="1">IFERROR(__xludf.DUMMYFUNCTION("""COMPUTED_VALUE"""),90)</f>
        <v>90</v>
      </c>
      <c r="B91" s="64" t="str">
        <f ca="1">IFERROR(__xludf.DUMMYFUNCTION("""COMPUTED_VALUE"""),"Holly Barrier")</f>
        <v>Holly Barrier</v>
      </c>
      <c r="C91" s="64" t="str">
        <f ca="1">IFERROR(__xludf.DUMMYFUNCTION("""COMPUTED_VALUE"""),"counter, spikes, summon")</f>
        <v>counter, spikes, summon</v>
      </c>
      <c r="D91" s="64" t="str">
        <f ca="1">IFERROR(__xludf.DUMMYFUNCTION("""COMPUTED_VALUE"""),"Endurecida")</f>
        <v>Endurecida</v>
      </c>
      <c r="E91" s="64" t="str">
        <f ca="1">IFERROR(__xludf.DUMMYFUNCTION("""COMPUTED_VALUE"""),"Machuca os zumbis que o ataquem, e pode lançar 3 barreiras de folha espinhosa que nocauteia zumbis e causa dano ao ser atacado.")</f>
        <v>Machuca os zumbis que o ataquem, e pode lançar 3 barreiras de folha espinhosa que nocauteia zumbis e causa dano ao ser atacado.</v>
      </c>
      <c r="F91" s="64">
        <f ca="1">IFERROR(__xludf.DUMMYFUNCTION("""COMPUTED_VALUE"""),150)</f>
        <v>150</v>
      </c>
      <c r="G91" s="64">
        <f ca="1">IFERROR(__xludf.DUMMYFUNCTION("""COMPUTED_VALUE"""),3000)</f>
        <v>3000</v>
      </c>
      <c r="H91" s="64">
        <f ca="1">IFERROR(__xludf.DUMMYFUNCTION("""COMPUTED_VALUE"""),20)</f>
        <v>20</v>
      </c>
      <c r="I91" s="64">
        <f ca="1">IFERROR(__xludf.DUMMYFUNCTION("""COMPUTED_VALUE"""),15)</f>
        <v>15</v>
      </c>
      <c r="J91" s="64" t="str">
        <f ca="1">IFERROR(__xludf.DUMMYFUNCTION("""COMPUTED_VALUE"""),"Fully heals itself and regains all berries. Launches Armored leaves on to random tiles.")</f>
        <v>Fully heals itself and regains all berries. Launches Armored leaves on to random tiles.</v>
      </c>
      <c r="K91" s="64" t="str">
        <f ca="1">IFERROR(__xludf.DUMMYFUNCTION("""COMPUTED_VALUE"""),"Can fire up to 3 barriers")</f>
        <v>Can fire up to 3 barriers</v>
      </c>
      <c r="L91" s="64" t="str">
        <f ca="1">IFERROR(__xludf.DUMMYFUNCTION("""COMPUTED_VALUE"""),"Special - Projectile knocks back, does damage, leaves barrier on empty tiles")</f>
        <v>Special - Projectile knocks back, does damage, leaves barrier on empty tiles</v>
      </c>
      <c r="M91" s="64" t="b">
        <f ca="1">IFERROR(__xludf.DUMMYFUNCTION("""COMPUTED_VALUE"""),FALSE)</f>
        <v>0</v>
      </c>
      <c r="N91" s="64" t="b">
        <f ca="1">IFERROR(__xludf.DUMMYFUNCTION("""COMPUTED_VALUE"""),FALSE)</f>
        <v>0</v>
      </c>
      <c r="O91" s="64">
        <f ca="1">IFERROR(__xludf.DUMMYFUNCTION("""COMPUTED_VALUE"""),0)</f>
        <v>0</v>
      </c>
      <c r="P91" s="64" t="str">
        <f ca="1">IFERROR(__xludf.DUMMYFUNCTION("""COMPUTED_VALUE"""),"Uncommon")</f>
        <v>Uncommon</v>
      </c>
      <c r="Q91" s="64" t="str">
        <f ca="1">IFERROR(__xludf.DUMMYFUNCTION("""COMPUTED_VALUE"""),"counter, spikes")</f>
        <v>counter, spikes</v>
      </c>
      <c r="R91" s="64" t="str">
        <f ca="1">IFERROR(__xludf.DUMMYFUNCTION("""COMPUTED_VALUE"""),"Berry")</f>
        <v>Berry</v>
      </c>
      <c r="S91" s="64" t="str">
        <f ca="1">IFERROR(__xludf.DUMMYFUNCTION("""COMPUTED_VALUE"""),"Premium")</f>
        <v>Premium</v>
      </c>
      <c r="T91" s="64" t="str">
        <f ca="1">IFERROR(__xludf.DUMMYFUNCTION("""COMPUTED_VALUE"""),"2500")</f>
        <v>2500</v>
      </c>
      <c r="U91" s="64" t="str">
        <f ca="1">IFERROR(__xludf.DUMMYFUNCTION("""COMPUTED_VALUE"""),"None")</f>
        <v>None</v>
      </c>
      <c r="V91" s="64" t="str">
        <f ca="1">IFERROR(__xludf.DUMMYFUNCTION("""COMPUTED_VALUE"""),"hollyknight")</f>
        <v>hollyknight</v>
      </c>
      <c r="W91" s="64" t="str">
        <f ca="1">IFERROR(__xludf.DUMMYFUNCTION("""COMPUTED_VALUE"""),"Tough")</f>
        <v>Tough</v>
      </c>
      <c r="X91" s="64" t="str">
        <f ca="1">IFERROR(__xludf.DUMMYFUNCTION("""COMPUTED_VALUE"""),"PvZ 2, PvZ 2 Chinease")</f>
        <v>PvZ 2, PvZ 2 Chinease</v>
      </c>
      <c r="Y91" s="65" t="str">
        <f ca="1">IFERROR(__xludf.DUMMYFUNCTION("""COMPUTED_VALUE"""),"https://static.wikia.nocookie.net/plantsvszombies/images/0/0d/Holly_Barrier2.png/revision/latest?cb=20171203021856")</f>
        <v>https://static.wikia.nocookie.net/plantsvszombies/images/0/0d/Holly_Barrier2.png/revision/latest?cb=20171203021856</v>
      </c>
    </row>
    <row r="92" spans="1:25" x14ac:dyDescent="0.2">
      <c r="A92" s="64">
        <f ca="1">IFERROR(__xludf.DUMMYFUNCTION("""COMPUTED_VALUE"""),91)</f>
        <v>91</v>
      </c>
      <c r="B92" s="64" t="str">
        <f ca="1">IFERROR(__xludf.DUMMYFUNCTION("""COMPUTED_VALUE"""),"Squash")</f>
        <v>Squash</v>
      </c>
      <c r="C92" s="64" t="str">
        <f ca="1">IFERROR(__xludf.DUMMYFUNCTION("""COMPUTED_VALUE"""),"Esmagadora")</f>
        <v>Esmagadora</v>
      </c>
      <c r="D92" s="64" t="str">
        <f ca="1">IFERROR(__xludf.DUMMYFUNCTION("""COMPUTED_VALUE"""),"Surra")</f>
        <v>Surra</v>
      </c>
      <c r="E92" s="64" t="str">
        <f ca="1">IFERROR(__xludf.DUMMYFUNCTION("""COMPUTED_VALUE"""),"Esmaga os zumbis próximos")</f>
        <v>Esmaga os zumbis próximos</v>
      </c>
      <c r="F92" s="64">
        <f ca="1">IFERROR(__xludf.DUMMYFUNCTION("""COMPUTED_VALUE"""),50)</f>
        <v>50</v>
      </c>
      <c r="G92" s="64">
        <f ca="1">IFERROR(__xludf.DUMMYFUNCTION("""COMPUTED_VALUE"""),1)</f>
        <v>1</v>
      </c>
      <c r="H92" s="64">
        <f ca="1">IFERROR(__xludf.DUMMYFUNCTION("""COMPUTED_VALUE"""),1800)</f>
        <v>1800</v>
      </c>
      <c r="I92" s="64">
        <f ca="1">IFERROR(__xludf.DUMMYFUNCTION("""COMPUTED_VALUE"""),20)</f>
        <v>20</v>
      </c>
      <c r="J92" s="64" t="str">
        <f ca="1">IFERROR(__xludf.DUMMYFUNCTION("""COMPUTED_VALUE"""),"Squashes multiple tough targets on the lawn before returning to its original location.")</f>
        <v>Squashes multiple tough targets on the lawn before returning to its original location.</v>
      </c>
      <c r="K92" s="64" t="str">
        <f ca="1">IFERROR(__xludf.DUMMYFUNCTION("""COMPUTED_VALUE"""),"All zombies around target")</f>
        <v>All zombies around target</v>
      </c>
      <c r="L92" s="64" t="str">
        <f ca="1">IFERROR(__xludf.DUMMYFUNCTION("""COMPUTED_VALUE"""),"Special - More smashes with higher plant level")</f>
        <v>Special - More smashes with higher plant level</v>
      </c>
      <c r="M92" s="64" t="b">
        <f ca="1">IFERROR(__xludf.DUMMYFUNCTION("""COMPUTED_VALUE"""),TRUE)</f>
        <v>1</v>
      </c>
      <c r="N92" s="64" t="b">
        <f ca="1">IFERROR(__xludf.DUMMYFUNCTION("""COMPUTED_VALUE"""),FALSE)</f>
        <v>0</v>
      </c>
      <c r="O92" s="64">
        <f ca="1">IFERROR(__xludf.DUMMYFUNCTION("""COMPUTED_VALUE"""),0)</f>
        <v>0</v>
      </c>
      <c r="P92" s="64" t="str">
        <f ca="1">IFERROR(__xludf.DUMMYFUNCTION("""COMPUTED_VALUE"""),"Uncommon")</f>
        <v>Uncommon</v>
      </c>
      <c r="Q92" s="64" t="str">
        <f ca="1">IFERROR(__xludf.DUMMYFUNCTION("""COMPUTED_VALUE"""),"attack_baclwards")</f>
        <v>attack_baclwards</v>
      </c>
      <c r="R92" s="64" t="str">
        <f ca="1">IFERROR(__xludf.DUMMYFUNCTION("""COMPUTED_VALUE"""),"Vegetable")</f>
        <v>Vegetable</v>
      </c>
      <c r="S92" s="64" t="str">
        <f ca="1">IFERROR(__xludf.DUMMYFUNCTION("""COMPUTED_VALUE"""),"Gemium")</f>
        <v>Gemium</v>
      </c>
      <c r="T92" s="64" t="str">
        <f ca="1">IFERROR(__xludf.DUMMYFUNCTION("""COMPUTED_VALUE"""),"None")</f>
        <v>None</v>
      </c>
      <c r="U92" s="64" t="str">
        <f ca="1">IFERROR(__xludf.DUMMYFUNCTION("""COMPUTED_VALUE"""),"None")</f>
        <v>None</v>
      </c>
      <c r="V92" s="64" t="str">
        <f ca="1">IFERROR(__xludf.DUMMYFUNCTION("""COMPUTED_VALUE"""),"squash")</f>
        <v>squash</v>
      </c>
      <c r="W92" s="64" t="str">
        <f ca="1">IFERROR(__xludf.DUMMYFUNCTION("""COMPUTED_VALUE"""),"Vanguard")</f>
        <v>Vanguard</v>
      </c>
      <c r="X92" s="64" t="str">
        <f ca="1">IFERROR(__xludf.DUMMYFUNCTION("""COMPUTED_VALUE"""),"PvZ, PvZ 2, PvZ 2 Chinease, PvZ Heroes, PvZ GW 2, PvZ BfN, PvZ 3")</f>
        <v>PvZ, PvZ 2, PvZ 2 Chinease, PvZ Heroes, PvZ GW 2, PvZ BfN, PvZ 3</v>
      </c>
      <c r="Y92" s="65" t="str">
        <f ca="1">IFERROR(__xludf.DUMMYFUNCTION("""COMPUTED_VALUE"""),"https://static.wikia.nocookie.net/plantsvszombies/images/5/52/Squash2.png/revision/latest?cb=20150823165146")</f>
        <v>https://static.wikia.nocookie.net/plantsvszombies/images/5/52/Squash2.png/revision/latest?cb=20150823165146</v>
      </c>
    </row>
    <row r="93" spans="1:25" x14ac:dyDescent="0.2">
      <c r="A93" s="64">
        <f ca="1">IFERROR(__xludf.DUMMYFUNCTION("""COMPUTED_VALUE"""),92)</f>
        <v>92</v>
      </c>
      <c r="B93" s="64" t="str">
        <f ca="1">IFERROR(__xludf.DUMMYFUNCTION("""COMPUTED_VALUE"""),"Jalapeño")</f>
        <v>Jalapeño</v>
      </c>
      <c r="C93" s="64" t="str">
        <f ca="1">IFERROR(__xludf.DUMMYFUNCTION("""COMPUTED_VALUE"""),"Pimenta")</f>
        <v>Pimenta</v>
      </c>
      <c r="D93" s="64" t="str">
        <f ca="1">IFERROR(__xludf.DUMMYFUNCTION("""COMPUTED_VALUE"""),"Aquecida")</f>
        <v>Aquecida</v>
      </c>
      <c r="E93" s="64" t="str">
        <f ca="1">IFERROR(__xludf.DUMMYFUNCTION("""COMPUTED_VALUE"""),"Detona e encendeia todos os zumbis na fileira.")</f>
        <v>Detona e encendeia todos os zumbis na fileira.</v>
      </c>
      <c r="F93" s="64">
        <f ca="1">IFERROR(__xludf.DUMMYFUNCTION("""COMPUTED_VALUE"""),125)</f>
        <v>125</v>
      </c>
      <c r="G93" s="64">
        <f ca="1">IFERROR(__xludf.DUMMYFUNCTION("""COMPUTED_VALUE"""),1)</f>
        <v>1</v>
      </c>
      <c r="H93" s="64">
        <f ca="1">IFERROR(__xludf.DUMMYFUNCTION("""COMPUTED_VALUE"""),1800)</f>
        <v>1800</v>
      </c>
      <c r="I93" s="64">
        <f ca="1">IFERROR(__xludf.DUMMYFUNCTION("""COMPUTED_VALUE"""),35)</f>
        <v>35</v>
      </c>
      <c r="J93" s="64" t="str">
        <f ca="1">IFERROR(__xludf.DUMMYFUNCTION("""COMPUTED_VALUE"""),"No Plant Food effect.")</f>
        <v>No Plant Food effect.</v>
      </c>
      <c r="K93" s="64"/>
      <c r="L93" s="64"/>
      <c r="M93" s="64" t="b">
        <f ca="1">IFERROR(__xludf.DUMMYFUNCTION("""COMPUTED_VALUE"""),TRUE)</f>
        <v>1</v>
      </c>
      <c r="N93" s="64" t="b">
        <f ca="1">IFERROR(__xludf.DUMMYFUNCTION("""COMPUTED_VALUE"""),TRUE)</f>
        <v>1</v>
      </c>
      <c r="O93" s="64">
        <f ca="1">IFERROR(__xludf.DUMMYFUNCTION("""COMPUTED_VALUE"""),0)</f>
        <v>0</v>
      </c>
      <c r="P93" s="64" t="str">
        <f ca="1">IFERROR(__xludf.DUMMYFUNCTION("""COMPUTED_VALUE"""),"Uncommon")</f>
        <v>Uncommon</v>
      </c>
      <c r="Q93" s="64" t="str">
        <f ca="1">IFERROR(__xludf.DUMMYFUNCTION("""COMPUTED_VALUE"""),"area-effect")</f>
        <v>area-effect</v>
      </c>
      <c r="R93" s="64" t="str">
        <f ca="1">IFERROR(__xludf.DUMMYFUNCTION("""COMPUTED_VALUE"""),"Pepper")</f>
        <v>Pepper</v>
      </c>
      <c r="S93" s="64" t="str">
        <f ca="1">IFERROR(__xludf.DUMMYFUNCTION("""COMPUTED_VALUE"""),"Gemium")</f>
        <v>Gemium</v>
      </c>
      <c r="T93" s="64" t="str">
        <f ca="1">IFERROR(__xludf.DUMMYFUNCTION("""COMPUTED_VALUE"""),"None")</f>
        <v>None</v>
      </c>
      <c r="U93" s="64" t="str">
        <f ca="1">IFERROR(__xludf.DUMMYFUNCTION("""COMPUTED_VALUE"""),"None")</f>
        <v>None</v>
      </c>
      <c r="V93" s="64" t="str">
        <f ca="1">IFERROR(__xludf.DUMMYFUNCTION("""COMPUTED_VALUE"""),"jalapeno")</f>
        <v>jalapeno</v>
      </c>
      <c r="W93" s="64" t="str">
        <f ca="1">IFERROR(__xludf.DUMMYFUNCTION("""COMPUTED_VALUE"""),"Special")</f>
        <v>Special</v>
      </c>
      <c r="X93" s="64" t="str">
        <f ca="1">IFERROR(__xludf.DUMMYFUNCTION("""COMPUTED_VALUE"""),"PvZ, PvZ 2, PvZ 2 Chinease, PvZ 3")</f>
        <v>PvZ, PvZ 2, PvZ 2 Chinease, PvZ 3</v>
      </c>
      <c r="Y93" s="65" t="str">
        <f ca="1">IFERROR(__xludf.DUMMYFUNCTION("""COMPUTED_VALUE"""),"https://static.wikia.nocookie.net/plantsvszombies/images/7/7d/Jalapeno2.png/revision/latest?cb=20150823165147")</f>
        <v>https://static.wikia.nocookie.net/plantsvszombies/images/7/7d/Jalapeno2.png/revision/latest?cb=20150823165147</v>
      </c>
    </row>
    <row r="94" spans="1:25" x14ac:dyDescent="0.2">
      <c r="A94" s="64">
        <f ca="1">IFERROR(__xludf.DUMMYFUNCTION("""COMPUTED_VALUE"""),93)</f>
        <v>93</v>
      </c>
      <c r="B94" s="64" t="str">
        <f ca="1">IFERROR(__xludf.DUMMYFUNCTION("""COMPUTED_VALUE"""),"Hypno-shroom")</f>
        <v>Hypno-shroom</v>
      </c>
      <c r="C94" s="64" t="str">
        <f ca="1">IFERROR(__xludf.DUMMYFUNCTION("""COMPUTED_VALUE"""),"Hipnogumelo")</f>
        <v>Hipnogumelo</v>
      </c>
      <c r="D94" s="64" t="str">
        <f ca="1">IFERROR(__xludf.DUMMYFUNCTION("""COMPUTED_VALUE"""),"Encanta")</f>
        <v>Encanta</v>
      </c>
      <c r="E94" s="64" t="str">
        <f ca="1">IFERROR(__xludf.DUMMYFUNCTION("""COMPUTED_VALUE"""),"Usa seu poder mental para hipnotizar o zumbi que devorá-lo, e fazer lutarem por ele.")</f>
        <v>Usa seu poder mental para hipnotizar o zumbi que devorá-lo, e fazer lutarem por ele.</v>
      </c>
      <c r="F94" s="64">
        <f ca="1">IFERROR(__xludf.DUMMYFUNCTION("""COMPUTED_VALUE"""),125)</f>
        <v>125</v>
      </c>
      <c r="G94" s="64">
        <f ca="1">IFERROR(__xludf.DUMMYFUNCTION("""COMPUTED_VALUE"""),1)</f>
        <v>1</v>
      </c>
      <c r="H94" s="64">
        <f ca="1">IFERROR(__xludf.DUMMYFUNCTION("""COMPUTED_VALUE"""),0)</f>
        <v>0</v>
      </c>
      <c r="I94" s="64">
        <f ca="1">IFERROR(__xludf.DUMMYFUNCTION("""COMPUTED_VALUE"""),20)</f>
        <v>20</v>
      </c>
      <c r="J94" s="64" t="str">
        <f ca="1">IFERROR(__xludf.DUMMYFUNCTION("""COMPUTED_VALUE"""),"Turns a hypnotized zombie into a Gargantuar.")</f>
        <v>Turns a hypnotized zombie into a Gargantuar.</v>
      </c>
      <c r="K94" s="64"/>
      <c r="L94" s="64"/>
      <c r="M94" s="64" t="b">
        <f ca="1">IFERROR(__xludf.DUMMYFUNCTION("""COMPUTED_VALUE"""),TRUE)</f>
        <v>1</v>
      </c>
      <c r="N94" s="64" t="b">
        <f ca="1">IFERROR(__xludf.DUMMYFUNCTION("""COMPUTED_VALUE"""),FALSE)</f>
        <v>0</v>
      </c>
      <c r="O94" s="64">
        <f ca="1">IFERROR(__xludf.DUMMYFUNCTION("""COMPUTED_VALUE"""),0)</f>
        <v>0</v>
      </c>
      <c r="P94" s="64" t="str">
        <f ca="1">IFERROR(__xludf.DUMMYFUNCTION("""COMPUTED_VALUE"""),"Uncommon")</f>
        <v>Uncommon</v>
      </c>
      <c r="Q94" s="64" t="str">
        <f ca="1">IFERROR(__xludf.DUMMYFUNCTION("""COMPUTED_VALUE"""),"control")</f>
        <v>control</v>
      </c>
      <c r="R94" s="64" t="str">
        <f ca="1">IFERROR(__xludf.DUMMYFUNCTION("""COMPUTED_VALUE"""),"Murshroom")</f>
        <v>Murshroom</v>
      </c>
      <c r="S94" s="64" t="str">
        <f ca="1">IFERROR(__xludf.DUMMYFUNCTION("""COMPUTED_VALUE"""),"Gemium")</f>
        <v>Gemium</v>
      </c>
      <c r="T94" s="64" t="str">
        <f ca="1">IFERROR(__xludf.DUMMYFUNCTION("""COMPUTED_VALUE"""),"None")</f>
        <v>None</v>
      </c>
      <c r="U94" s="64" t="str">
        <f ca="1">IFERROR(__xludf.DUMMYFUNCTION("""COMPUTED_VALUE"""),"None")</f>
        <v>None</v>
      </c>
      <c r="V94" s="64" t="str">
        <f ca="1">IFERROR(__xludf.DUMMYFUNCTION("""COMPUTED_VALUE"""),"hypnoshroom")</f>
        <v>hypnoshroom</v>
      </c>
      <c r="W94" s="64" t="str">
        <f ca="1">IFERROR(__xludf.DUMMYFUNCTION("""COMPUTED_VALUE"""),"Special")</f>
        <v>Special</v>
      </c>
      <c r="X94" s="64" t="str">
        <f ca="1">IFERROR(__xludf.DUMMYFUNCTION("""COMPUTED_VALUE"""),"PvZ, PvZ 2, PvZ 2 Chinease, PvZ GW 2, PvZ BfN")</f>
        <v>PvZ, PvZ 2, PvZ 2 Chinease, PvZ GW 2, PvZ BfN</v>
      </c>
      <c r="Y94" s="65" t="str">
        <f ca="1">IFERROR(__xludf.DUMMYFUNCTION("""COMPUTED_VALUE"""),"https://static.wikia.nocookie.net/plantsvszombies/images/c/c3/Hypno-shroom2.png/revision/latest?cb=20210302125341")</f>
        <v>https://static.wikia.nocookie.net/plantsvszombies/images/c/c3/Hypno-shroom2.png/revision/latest?cb=20210302125341</v>
      </c>
    </row>
    <row r="95" spans="1:25" x14ac:dyDescent="0.2">
      <c r="A95" s="64">
        <f ca="1">IFERROR(__xludf.DUMMYFUNCTION("""COMPUTED_VALUE"""),94)</f>
        <v>94</v>
      </c>
      <c r="B95" s="64" t="str">
        <f ca="1">IFERROR(__xludf.DUMMYFUNCTION("""COMPUTED_VALUE"""),"Pea-nut")</f>
        <v>Pea-nut</v>
      </c>
      <c r="C95" s="64" t="str">
        <f ca="1">IFERROR(__xludf.DUMMYFUNCTION("""COMPUTED_VALUE"""),"Nozervilha")</f>
        <v>Nozervilha</v>
      </c>
      <c r="D95" s="64" t="str">
        <f ca="1">IFERROR(__xludf.DUMMYFUNCTION("""COMPUTED_VALUE"""),"Endurecida")</f>
        <v>Endurecida</v>
      </c>
      <c r="E95" s="64" t="str">
        <f ca="1">IFERROR(__xludf.DUMMYFUNCTION("""COMPUTED_VALUE"""),"Dispara até duas ervilhas contra os zumbis, enquanto fornece uma proteção básica para as plantas.")</f>
        <v>Dispara até duas ervilhas contra os zumbis, enquanto fornece uma proteção básica para as plantas.</v>
      </c>
      <c r="F95" s="64">
        <f ca="1">IFERROR(__xludf.DUMMYFUNCTION("""COMPUTED_VALUE"""),150)</f>
        <v>150</v>
      </c>
      <c r="G95" s="64">
        <f ca="1">IFERROR(__xludf.DUMMYFUNCTION("""COMPUTED_VALUE"""),4000)</f>
        <v>4000</v>
      </c>
      <c r="H95" s="64">
        <f ca="1">IFERROR(__xludf.DUMMYFUNCTION("""COMPUTED_VALUE"""),20)</f>
        <v>20</v>
      </c>
      <c r="I95" s="64">
        <f ca="1">IFERROR(__xludf.DUMMYFUNCTION("""COMPUTED_VALUE"""),15)</f>
        <v>15</v>
      </c>
      <c r="J95" s="64" t="str">
        <f ca="1">IFERROR(__xludf.DUMMYFUNCTION("""COMPUTED_VALUE"""),"Heals to full health, gains an armor helmet and shoots a barrage of peas.")</f>
        <v>Heals to full health, gains an armor helmet and shoots a barrage of peas.</v>
      </c>
      <c r="K95" s="64"/>
      <c r="L95" s="64"/>
      <c r="M95" s="64" t="b">
        <f ca="1">IFERROR(__xludf.DUMMYFUNCTION("""COMPUTED_VALUE"""),FALSE)</f>
        <v>0</v>
      </c>
      <c r="N95" s="64" t="b">
        <f ca="1">IFERROR(__xludf.DUMMYFUNCTION("""COMPUTED_VALUE"""),FALSE)</f>
        <v>0</v>
      </c>
      <c r="O95" s="64">
        <f ca="1">IFERROR(__xludf.DUMMYFUNCTION("""COMPUTED_VALUE"""),0)</f>
        <v>0</v>
      </c>
      <c r="P95" s="64" t="str">
        <f ca="1">IFERROR(__xludf.DUMMYFUNCTION("""COMPUTED_VALUE"""),"Uncommon")</f>
        <v>Uncommon</v>
      </c>
      <c r="Q95" s="64"/>
      <c r="R95" s="64" t="str">
        <f ca="1">IFERROR(__xludf.DUMMYFUNCTION("""COMPUTED_VALUE"""),"Nut")</f>
        <v>Nut</v>
      </c>
      <c r="S95" s="64" t="str">
        <f ca="1">IFERROR(__xludf.DUMMYFUNCTION("""COMPUTED_VALUE"""),"Gemium")</f>
        <v>Gemium</v>
      </c>
      <c r="T95" s="64" t="str">
        <f ca="1">IFERROR(__xludf.DUMMYFUNCTION("""COMPUTED_VALUE"""),"None")</f>
        <v>None</v>
      </c>
      <c r="U95" s="64" t="str">
        <f ca="1">IFERROR(__xludf.DUMMYFUNCTION("""COMPUTED_VALUE"""),"None")</f>
        <v>None</v>
      </c>
      <c r="V95" s="64" t="str">
        <f ca="1">IFERROR(__xludf.DUMMYFUNCTION("""COMPUTED_VALUE"""),"peanut")</f>
        <v>peanut</v>
      </c>
      <c r="W95" s="64" t="str">
        <f ca="1">IFERROR(__xludf.DUMMYFUNCTION("""COMPUTED_VALUE"""),"Ranged")</f>
        <v>Ranged</v>
      </c>
      <c r="X95" s="64" t="str">
        <f ca="1">IFERROR(__xludf.DUMMYFUNCTION("""COMPUTED_VALUE"""),"PvZ 2, PvZ 2 Chinease, PvZ Heroes")</f>
        <v>PvZ 2, PvZ 2 Chinease, PvZ Heroes</v>
      </c>
      <c r="Y95" s="65" t="str">
        <f ca="1">IFERROR(__xludf.DUMMYFUNCTION("""COMPUTED_VALUE"""),"https://static.wikia.nocookie.net/plantsvszombies/images/0/0f/Pea-nut2.png/revision/latest?cb=20150822204951")</f>
        <v>https://static.wikia.nocookie.net/plantsvszombies/images/0/0f/Pea-nut2.png/revision/latest?cb=20150822204951</v>
      </c>
    </row>
    <row r="96" spans="1:25" x14ac:dyDescent="0.2">
      <c r="A96" s="64">
        <f ca="1">IFERROR(__xludf.DUMMYFUNCTION("""COMPUTED_VALUE"""),95)</f>
        <v>95</v>
      </c>
      <c r="B96" s="64" t="str">
        <f ca="1">IFERROR(__xludf.DUMMYFUNCTION("""COMPUTED_VALUE"""),"Homing Thistle")</f>
        <v>Homing Thistle</v>
      </c>
      <c r="C96" s="64" t="str">
        <f ca="1">IFERROR(__xludf.DUMMYFUNCTION("""COMPUTED_VALUE"""),"Espinho Guiado")</f>
        <v>Espinho Guiado</v>
      </c>
      <c r="D96" s="64" t="str">
        <f ca="1">IFERROR(__xludf.DUMMYFUNCTION("""COMPUTED_VALUE"""),"Perfura")</f>
        <v>Perfura</v>
      </c>
      <c r="E96" s="64" t="str">
        <f ca="1">IFERROR(__xludf.DUMMYFUNCTION("""COMPUTED_VALUE"""),"Dispara espinhos teleguiados que atingem o zumbi mais próximo da casa.")</f>
        <v>Dispara espinhos teleguiados que atingem o zumbi mais próximo da casa.</v>
      </c>
      <c r="F96" s="64">
        <f ca="1">IFERROR(__xludf.DUMMYFUNCTION("""COMPUTED_VALUE"""),250)</f>
        <v>250</v>
      </c>
      <c r="G96" s="64">
        <f ca="1">IFERROR(__xludf.DUMMYFUNCTION("""COMPUTED_VALUE"""),300)</f>
        <v>300</v>
      </c>
      <c r="H96" s="64">
        <f ca="1">IFERROR(__xludf.DUMMYFUNCTION("""COMPUTED_VALUE"""),40)</f>
        <v>40</v>
      </c>
      <c r="I96" s="64">
        <f ca="1">IFERROR(__xludf.DUMMYFUNCTION("""COMPUTED_VALUE"""),15)</f>
        <v>15</v>
      </c>
      <c r="J96" s="64" t="str">
        <f ca="1">IFERROR(__xludf.DUMMYFUNCTION("""COMPUTED_VALUE"""),"Shoots homing projectiles at all zombies on the lawn, dealing moderate damage to each.")</f>
        <v>Shoots homing projectiles at all zombies on the lawn, dealing moderate damage to each.</v>
      </c>
      <c r="K96" s="64"/>
      <c r="L96" s="64"/>
      <c r="M96" s="64" t="b">
        <f ca="1">IFERROR(__xludf.DUMMYFUNCTION("""COMPUTED_VALUE"""),FALSE)</f>
        <v>0</v>
      </c>
      <c r="N96" s="64" t="b">
        <f ca="1">IFERROR(__xludf.DUMMYFUNCTION("""COMPUTED_VALUE"""),FALSE)</f>
        <v>0</v>
      </c>
      <c r="O96" s="64">
        <f ca="1">IFERROR(__xludf.DUMMYFUNCTION("""COMPUTED_VALUE"""),0)</f>
        <v>0</v>
      </c>
      <c r="P96" s="64" t="str">
        <f ca="1">IFERROR(__xludf.DUMMYFUNCTION("""COMPUTED_VALUE"""),"Uncommon")</f>
        <v>Uncommon</v>
      </c>
      <c r="Q96" s="64" t="str">
        <f ca="1">IFERROR(__xludf.DUMMYFUNCTION("""COMPUTED_VALUE"""),"spikes")</f>
        <v>spikes</v>
      </c>
      <c r="R96" s="64" t="str">
        <f ca="1">IFERROR(__xludf.DUMMYFUNCTION("""COMPUTED_VALUE"""),"Cactus")</f>
        <v>Cactus</v>
      </c>
      <c r="S96" s="64" t="str">
        <f ca="1">IFERROR(__xludf.DUMMYFUNCTION("""COMPUTED_VALUE"""),"Gemium")</f>
        <v>Gemium</v>
      </c>
      <c r="T96" s="64" t="str">
        <f ca="1">IFERROR(__xludf.DUMMYFUNCTION("""COMPUTED_VALUE"""),"None")</f>
        <v>None</v>
      </c>
      <c r="U96" s="64" t="str">
        <f ca="1">IFERROR(__xludf.DUMMYFUNCTION("""COMPUTED_VALUE"""),"None")</f>
        <v>None</v>
      </c>
      <c r="V96" s="64" t="str">
        <f ca="1">IFERROR(__xludf.DUMMYFUNCTION("""COMPUTED_VALUE"""),"homingthistle")</f>
        <v>homingthistle</v>
      </c>
      <c r="W96" s="64" t="str">
        <f ca="1">IFERROR(__xludf.DUMMYFUNCTION("""COMPUTED_VALUE"""),"Ranged")</f>
        <v>Ranged</v>
      </c>
      <c r="X96" s="64" t="str">
        <f ca="1">IFERROR(__xludf.DUMMYFUNCTION("""COMPUTED_VALUE"""),"PvZ 2, PvZ 2 Chinease")</f>
        <v>PvZ 2, PvZ 2 Chinease</v>
      </c>
      <c r="Y96" s="65" t="str">
        <f ca="1">IFERROR(__xludf.DUMMYFUNCTION("""COMPUTED_VALUE"""),"https://static.wikia.nocookie.net/plantsvszombies/images/f/fb/Homing_Thistle2.png/revision/latest?cb=20150823165313")</f>
        <v>https://static.wikia.nocookie.net/plantsvszombies/images/f/fb/Homing_Thistle2.png/revision/latest?cb=20150823165313</v>
      </c>
    </row>
    <row r="97" spans="1:25" x14ac:dyDescent="0.2">
      <c r="A97" s="64">
        <f ca="1">IFERROR(__xludf.DUMMYFUNCTION("""COMPUTED_VALUE"""),96)</f>
        <v>96</v>
      </c>
      <c r="B97" s="64" t="str">
        <f ca="1">IFERROR(__xludf.DUMMYFUNCTION("""COMPUTED_VALUE"""),"Ghost Pepper")</f>
        <v>Ghost Pepper</v>
      </c>
      <c r="C97" s="64" t="str">
        <f ca="1">IFERROR(__xludf.DUMMYFUNCTION("""COMPUTED_VALUE"""),"Pimenta Fantasma")</f>
        <v>Pimenta Fantasma</v>
      </c>
      <c r="D97" s="64" t="str">
        <f ca="1">IFERROR(__xludf.DUMMYFUNCTION("""COMPUTED_VALUE"""),"Aquecida")</f>
        <v>Aquecida</v>
      </c>
      <c r="E97" s="64" t="str">
        <f ca="1">IFERROR(__xludf.DUMMYFUNCTION("""COMPUTED_VALUE"""),"Machuca zumbis que passam por perto dele e explode depois de um tempo.")</f>
        <v>Machuca zumbis que passam por perto dele e explode depois de um tempo.</v>
      </c>
      <c r="F97" s="64">
        <f ca="1">IFERROR(__xludf.DUMMYFUNCTION("""COMPUTED_VALUE"""),75)</f>
        <v>75</v>
      </c>
      <c r="G97" s="64">
        <f ca="1">IFERROR(__xludf.DUMMYFUNCTION("""COMPUTED_VALUE"""),300)</f>
        <v>300</v>
      </c>
      <c r="H97" s="64">
        <f ca="1">IFERROR(__xludf.DUMMYFUNCTION("""COMPUTED_VALUE"""),30)</f>
        <v>30</v>
      </c>
      <c r="I97" s="64">
        <f ca="1">IFERROR(__xludf.DUMMYFUNCTION("""COMPUTED_VALUE"""),15)</f>
        <v>15</v>
      </c>
      <c r="J97" s="64" t="str">
        <f ca="1">IFERROR(__xludf.DUMMYFUNCTION("""COMPUTED_VALUE"""),"Deals heavy damage to all nearby zombies, and resets its lifetime timer.")</f>
        <v>Deals heavy damage to all nearby zombies, and resets its lifetime timer.</v>
      </c>
      <c r="K97" s="64"/>
      <c r="L97" s="64"/>
      <c r="M97" s="64" t="b">
        <f ca="1">IFERROR(__xludf.DUMMYFUNCTION("""COMPUTED_VALUE"""),TRUE)</f>
        <v>1</v>
      </c>
      <c r="N97" s="64" t="b">
        <f ca="1">IFERROR(__xludf.DUMMYFUNCTION("""COMPUTED_VALUE"""),FALSE)</f>
        <v>0</v>
      </c>
      <c r="O97" s="64">
        <f ca="1">IFERROR(__xludf.DUMMYFUNCTION("""COMPUTED_VALUE"""),0)</f>
        <v>0</v>
      </c>
      <c r="P97" s="64" t="str">
        <f ca="1">IFERROR(__xludf.DUMMYFUNCTION("""COMPUTED_VALUE"""),"Epic")</f>
        <v>Epic</v>
      </c>
      <c r="Q97" s="64" t="str">
        <f ca="1">IFERROR(__xludf.DUMMYFUNCTION("""COMPUTED_VALUE"""),"area-effect, attack_backwards, fade, flying")</f>
        <v>area-effect, attack_backwards, fade, flying</v>
      </c>
      <c r="R97" s="64" t="str">
        <f ca="1">IFERROR(__xludf.DUMMYFUNCTION("""COMPUTED_VALUE"""),"Pepper")</f>
        <v>Pepper</v>
      </c>
      <c r="S97" s="64" t="str">
        <f ca="1">IFERROR(__xludf.DUMMYFUNCTION("""COMPUTED_VALUE"""),"Gemium")</f>
        <v>Gemium</v>
      </c>
      <c r="T97" s="64" t="str">
        <f ca="1">IFERROR(__xludf.DUMMYFUNCTION("""COMPUTED_VALUE"""),"None")</f>
        <v>None</v>
      </c>
      <c r="U97" s="64" t="str">
        <f ca="1">IFERROR(__xludf.DUMMYFUNCTION("""COMPUTED_VALUE"""),"None")</f>
        <v>None</v>
      </c>
      <c r="V97" s="64" t="str">
        <f ca="1">IFERROR(__xludf.DUMMYFUNCTION("""COMPUTED_VALUE"""),"ghostpepper")</f>
        <v>ghostpepper</v>
      </c>
      <c r="W97" s="64" t="str">
        <f ca="1">IFERROR(__xludf.DUMMYFUNCTION("""COMPUTED_VALUE"""),"Special")</f>
        <v>Special</v>
      </c>
      <c r="X97" s="64" t="str">
        <f ca="1">IFERROR(__xludf.DUMMYFUNCTION("""COMPUTED_VALUE"""),"PvZ 2, PvZ 2 Chinease")</f>
        <v>PvZ 2, PvZ 2 Chinease</v>
      </c>
      <c r="Y97" s="65" t="str">
        <f ca="1">IFERROR(__xludf.DUMMYFUNCTION("""COMPUTED_VALUE"""),"https://static.wikia.nocookie.net/plantsvszombies/images/b/b2/Ghost_Pepper2.png/revision/latest?cb=20160916010938")</f>
        <v>https://static.wikia.nocookie.net/plantsvszombies/images/b/b2/Ghost_Pepper2.png/revision/latest?cb=20160916010938</v>
      </c>
    </row>
    <row r="98" spans="1:25" x14ac:dyDescent="0.2">
      <c r="A98" s="64">
        <f ca="1">IFERROR(__xludf.DUMMYFUNCTION("""COMPUTED_VALUE"""),97)</f>
        <v>97</v>
      </c>
      <c r="B98" s="64" t="str">
        <f ca="1">IFERROR(__xludf.DUMMYFUNCTION("""COMPUTED_VALUE"""),"Sweet Potato")</f>
        <v>Sweet Potato</v>
      </c>
      <c r="C98" s="64" t="str">
        <f ca="1">IFERROR(__xludf.DUMMYFUNCTION("""COMPUTED_VALUE"""),"Batata Doce")</f>
        <v>Batata Doce</v>
      </c>
      <c r="D98" s="64" t="str">
        <f ca="1">IFERROR(__xludf.DUMMYFUNCTION("""COMPUTED_VALUE"""),"Endurecida")</f>
        <v>Endurecida</v>
      </c>
      <c r="E98" s="64" t="str">
        <f ca="1">IFERROR(__xludf.DUMMYFUNCTION("""COMPUTED_VALUE"""),"Atrai zumbis de colunas adjacentes para esta.")</f>
        <v>Atrai zumbis de colunas adjacentes para esta.</v>
      </c>
      <c r="F98" s="64">
        <f ca="1">IFERROR(__xludf.DUMMYFUNCTION("""COMPUTED_VALUE"""),150)</f>
        <v>150</v>
      </c>
      <c r="G98" s="64">
        <f ca="1">IFERROR(__xludf.DUMMYFUNCTION("""COMPUTED_VALUE"""),4000)</f>
        <v>4000</v>
      </c>
      <c r="H98" s="64">
        <f ca="1">IFERROR(__xludf.DUMMYFUNCTION("""COMPUTED_VALUE"""),0)</f>
        <v>0</v>
      </c>
      <c r="I98" s="64">
        <f ca="1">IFERROR(__xludf.DUMMYFUNCTION("""COMPUTED_VALUE"""),20)</f>
        <v>20</v>
      </c>
      <c r="J98" s="64" t="str">
        <f ca="1">IFERROR(__xludf.DUMMYFUNCTION("""COMPUTED_VALUE"""),"Heals itself and attracts all nearby zombies to its row.")</f>
        <v>Heals itself and attracts all nearby zombies to its row.</v>
      </c>
      <c r="K98" s="64"/>
      <c r="L98" s="64"/>
      <c r="M98" s="64" t="b">
        <f ca="1">IFERROR(__xludf.DUMMYFUNCTION("""COMPUTED_VALUE"""),FALSE)</f>
        <v>0</v>
      </c>
      <c r="N98" s="64" t="b">
        <f ca="1">IFERROR(__xludf.DUMMYFUNCTION("""COMPUTED_VALUE"""),FALSE)</f>
        <v>0</v>
      </c>
      <c r="O98" s="64">
        <f ca="1">IFERROR(__xludf.DUMMYFUNCTION("""COMPUTED_VALUE"""),0)</f>
        <v>0</v>
      </c>
      <c r="P98" s="64" t="str">
        <f ca="1">IFERROR(__xludf.DUMMYFUNCTION("""COMPUTED_VALUE"""),"Common")</f>
        <v>Common</v>
      </c>
      <c r="Q98" s="64" t="str">
        <f ca="1">IFERROR(__xludf.DUMMYFUNCTION("""COMPUTED_VALUE"""),"control")</f>
        <v>control</v>
      </c>
      <c r="R98" s="64" t="str">
        <f ca="1">IFERROR(__xludf.DUMMYFUNCTION("""COMPUTED_VALUE"""),"Root")</f>
        <v>Root</v>
      </c>
      <c r="S98" s="64" t="str">
        <f ca="1">IFERROR(__xludf.DUMMYFUNCTION("""COMPUTED_VALUE"""),"Gemium")</f>
        <v>Gemium</v>
      </c>
      <c r="T98" s="64" t="str">
        <f ca="1">IFERROR(__xludf.DUMMYFUNCTION("""COMPUTED_VALUE"""),"None")</f>
        <v>None</v>
      </c>
      <c r="U98" s="64" t="str">
        <f ca="1">IFERROR(__xludf.DUMMYFUNCTION("""COMPUTED_VALUE"""),"None")</f>
        <v>None</v>
      </c>
      <c r="V98" s="64" t="str">
        <f ca="1">IFERROR(__xludf.DUMMYFUNCTION("""COMPUTED_VALUE"""),"sweetpotato")</f>
        <v>sweetpotato</v>
      </c>
      <c r="W98" s="64" t="str">
        <f ca="1">IFERROR(__xludf.DUMMYFUNCTION("""COMPUTED_VALUE"""),"Tough")</f>
        <v>Tough</v>
      </c>
      <c r="X98" s="64" t="str">
        <f ca="1">IFERROR(__xludf.DUMMYFUNCTION("""COMPUTED_VALUE"""),"PvZ 2, PvZ 2 Chinease, PvZ Heroes")</f>
        <v>PvZ 2, PvZ 2 Chinease, PvZ Heroes</v>
      </c>
      <c r="Y98" s="65" t="str">
        <f ca="1">IFERROR(__xludf.DUMMYFUNCTION("""COMPUTED_VALUE"""),"https://static.wikia.nocookie.net/plantsvszombies/images/1/1a/Sweet_Potato2.png/revision/latest?cb=20150823165444")</f>
        <v>https://static.wikia.nocookie.net/plantsvszombies/images/1/1a/Sweet_Potato2.png/revision/latest?cb=20150823165444</v>
      </c>
    </row>
    <row r="99" spans="1:25" x14ac:dyDescent="0.2">
      <c r="A99" s="64">
        <f ca="1">IFERROR(__xludf.DUMMYFUNCTION("""COMPUTED_VALUE"""),98)</f>
        <v>98</v>
      </c>
      <c r="B99" s="64" t="str">
        <f ca="1">IFERROR(__xludf.DUMMYFUNCTION("""COMPUTED_VALUE"""),"Sap-fling")</f>
        <v>Sap-fling</v>
      </c>
      <c r="C99" s="64" t="str">
        <f ca="1">IFERROR(__xludf.DUMMYFUNCTION("""COMPUTED_VALUE"""),"Lança-seiva")</f>
        <v>Lança-seiva</v>
      </c>
      <c r="D99" s="64" t="str">
        <f ca="1">IFERROR(__xludf.DUMMYFUNCTION("""COMPUTED_VALUE"""),"Refrea")</f>
        <v>Refrea</v>
      </c>
      <c r="E99" s="64" t="str">
        <f ca="1">IFERROR(__xludf.DUMMYFUNCTION("""COMPUTED_VALUE"""),"Lança em parábolas poças de seiva que desaceleram os zumbis.")</f>
        <v>Lança em parábolas poças de seiva que desaceleram os zumbis.</v>
      </c>
      <c r="F99" s="64">
        <f ca="1">IFERROR(__xludf.DUMMYFUNCTION("""COMPUTED_VALUE"""),75)</f>
        <v>75</v>
      </c>
      <c r="G99" s="64">
        <f ca="1">IFERROR(__xludf.DUMMYFUNCTION("""COMPUTED_VALUE"""),300)</f>
        <v>300</v>
      </c>
      <c r="H99" s="64">
        <f ca="1">IFERROR(__xludf.DUMMYFUNCTION("""COMPUTED_VALUE"""),0)</f>
        <v>0</v>
      </c>
      <c r="I99" s="64">
        <f ca="1">IFERROR(__xludf.DUMMYFUNCTION("""COMPUTED_VALUE"""),5)</f>
        <v>5</v>
      </c>
      <c r="J99" s="64" t="str">
        <f ca="1">IFERROR(__xludf.DUMMYFUNCTION("""COMPUTED_VALUE"""),"Throws 20 pine cones randomly on lawn.")</f>
        <v>Throws 20 pine cones randomly on lawn.</v>
      </c>
      <c r="K99" s="64" t="str">
        <f ca="1">IFERROR(__xludf.DUMMYFUNCTION("""COMPUTED_VALUE"""),"Does no damage on impact, but creates sap puddle")</f>
        <v>Does no damage on impact, but creates sap puddle</v>
      </c>
      <c r="L99" s="64" t="str">
        <f ca="1">IFERROR(__xludf.DUMMYFUNCTION("""COMPUTED_VALUE"""),"Special - Slows zombies who walk in puddle")</f>
        <v>Special - Slows zombies who walk in puddle</v>
      </c>
      <c r="M99" s="64" t="b">
        <f ca="1">IFERROR(__xludf.DUMMYFUNCTION("""COMPUTED_VALUE"""),FALSE)</f>
        <v>0</v>
      </c>
      <c r="N99" s="64" t="b">
        <f ca="1">IFERROR(__xludf.DUMMYFUNCTION("""COMPUTED_VALUE"""),FALSE)</f>
        <v>0</v>
      </c>
      <c r="O99" s="64">
        <f ca="1">IFERROR(__xludf.DUMMYFUNCTION("""COMPUTED_VALUE"""),0)</f>
        <v>0</v>
      </c>
      <c r="P99" s="64" t="str">
        <f ca="1">IFERROR(__xludf.DUMMYFUNCTION("""COMPUTED_VALUE"""),"Uncommon")</f>
        <v>Uncommon</v>
      </c>
      <c r="Q99" s="64" t="str">
        <f ca="1">IFERROR(__xludf.DUMMYFUNCTION("""COMPUTED_VALUE"""),"control")</f>
        <v>control</v>
      </c>
      <c r="R99" s="64" t="str">
        <f ca="1">IFERROR(__xludf.DUMMYFUNCTION("""COMPUTED_VALUE"""),"Wood")</f>
        <v>Wood</v>
      </c>
      <c r="S99" s="64" t="str">
        <f ca="1">IFERROR(__xludf.DUMMYFUNCTION("""COMPUTED_VALUE"""),"Gemium")</f>
        <v>Gemium</v>
      </c>
      <c r="T99" s="64" t="str">
        <f ca="1">IFERROR(__xludf.DUMMYFUNCTION("""COMPUTED_VALUE"""),"None")</f>
        <v>None</v>
      </c>
      <c r="U99" s="64" t="str">
        <f ca="1">IFERROR(__xludf.DUMMYFUNCTION("""COMPUTED_VALUE"""),"None")</f>
        <v>None</v>
      </c>
      <c r="V99" s="64" t="str">
        <f ca="1">IFERROR(__xludf.DUMMYFUNCTION("""COMPUTED_VALUE"""),"sapfling")</f>
        <v>sapfling</v>
      </c>
      <c r="W99" s="64" t="str">
        <f ca="1">IFERROR(__xludf.DUMMYFUNCTION("""COMPUTED_VALUE"""),"Ranged")</f>
        <v>Ranged</v>
      </c>
      <c r="X99" s="64" t="str">
        <f ca="1">IFERROR(__xludf.DUMMYFUNCTION("""COMPUTED_VALUE"""),"PvZ 2, PvZ 2 Chinease, PvZ Heroes")</f>
        <v>PvZ 2, PvZ 2 Chinease, PvZ Heroes</v>
      </c>
      <c r="Y99" s="65" t="str">
        <f ca="1">IFERROR(__xludf.DUMMYFUNCTION("""COMPUTED_VALUE"""),"https://static.wikia.nocookie.net/plantsvszombies/images/4/41/Sap-fling2.png/revision/latest?cb=20150822211124")</f>
        <v>https://static.wikia.nocookie.net/plantsvszombies/images/4/41/Sap-fling2.png/revision/latest?cb=20150822211124</v>
      </c>
    </row>
    <row r="100" spans="1:25" x14ac:dyDescent="0.2">
      <c r="A100" s="64">
        <f ca="1">IFERROR(__xludf.DUMMYFUNCTION("""COMPUTED_VALUE"""),99)</f>
        <v>99</v>
      </c>
      <c r="B100" s="64" t="str">
        <f ca="1">IFERROR(__xludf.DUMMYFUNCTION("""COMPUTED_VALUE"""),"Hurrikale")</f>
        <v>Hurrikale</v>
      </c>
      <c r="C100" s="64" t="str">
        <f ca="1">IFERROR(__xludf.DUMMYFUNCTION("""COMPUTED_VALUE"""),"Furacouve")</f>
        <v>Furacouve</v>
      </c>
      <c r="D100" s="64" t="str">
        <f ca="1">IFERROR(__xludf.DUMMYFUNCTION("""COMPUTED_VALUE"""),"Refrea")</f>
        <v>Refrea</v>
      </c>
      <c r="E100" s="64" t="str">
        <f ca="1">IFERROR(__xludf.DUMMYFUNCTION("""COMPUTED_VALUE"""),"Empurra os zumbis desta fila e resfria-os. Também remove os zumbis voadores desta fila.")</f>
        <v>Empurra os zumbis desta fila e resfria-os. Também remove os zumbis voadores desta fila.</v>
      </c>
      <c r="F100" s="64">
        <f ca="1">IFERROR(__xludf.DUMMYFUNCTION("""COMPUTED_VALUE"""),100)</f>
        <v>100</v>
      </c>
      <c r="G100" s="64">
        <f ca="1">IFERROR(__xludf.DUMMYFUNCTION("""COMPUTED_VALUE"""),1)</f>
        <v>1</v>
      </c>
      <c r="H100" s="64">
        <f ca="1">IFERROR(__xludf.DUMMYFUNCTION("""COMPUTED_VALUE"""),0)</f>
        <v>0</v>
      </c>
      <c r="I100" s="64">
        <f ca="1">IFERROR(__xludf.DUMMYFUNCTION("""COMPUTED_VALUE"""),15)</f>
        <v>15</v>
      </c>
      <c r="J100" s="64" t="str">
        <f ca="1">IFERROR(__xludf.DUMMYFUNCTION("""COMPUTED_VALUE"""),"No Plant Food effect.")</f>
        <v>No Plant Food effect.</v>
      </c>
      <c r="K100" s="64"/>
      <c r="L100" s="64" t="str">
        <f ca="1">IFERROR(__xludf.DUMMYFUNCTION("""COMPUTED_VALUE"""),"Special - Chills affected zombies
Special - Blows away flying zombies in lane")</f>
        <v>Special - Chills affected zombies
Special - Blows away flying zombies in lane</v>
      </c>
      <c r="M100" s="64" t="b">
        <f ca="1">IFERROR(__xludf.DUMMYFUNCTION("""COMPUTED_VALUE"""),TRUE)</f>
        <v>1</v>
      </c>
      <c r="N100" s="64" t="b">
        <f ca="1">IFERROR(__xludf.DUMMYFUNCTION("""COMPUTED_VALUE"""),TRUE)</f>
        <v>1</v>
      </c>
      <c r="O100" s="64">
        <f ca="1">IFERROR(__xludf.DUMMYFUNCTION("""COMPUTED_VALUE"""),0)</f>
        <v>0</v>
      </c>
      <c r="P100" s="64" t="str">
        <f ca="1">IFERROR(__xludf.DUMMYFUNCTION("""COMPUTED_VALUE"""),"Uncommon")</f>
        <v>Uncommon</v>
      </c>
      <c r="Q100" s="64" t="str">
        <f ca="1">IFERROR(__xludf.DUMMYFUNCTION("""COMPUTED_VALUE"""),"control, chilling")</f>
        <v>control, chilling</v>
      </c>
      <c r="R100" s="64" t="str">
        <f ca="1">IFERROR(__xludf.DUMMYFUNCTION("""COMPUTED_VALUE"""),"Leaf")</f>
        <v>Leaf</v>
      </c>
      <c r="S100" s="64" t="str">
        <f ca="1">IFERROR(__xludf.DUMMYFUNCTION("""COMPUTED_VALUE"""),"Gemium")</f>
        <v>Gemium</v>
      </c>
      <c r="T100" s="64" t="str">
        <f ca="1">IFERROR(__xludf.DUMMYFUNCTION("""COMPUTED_VALUE"""),"None")</f>
        <v>None</v>
      </c>
      <c r="U100" s="64" t="str">
        <f ca="1">IFERROR(__xludf.DUMMYFUNCTION("""COMPUTED_VALUE"""),"None")</f>
        <v>None</v>
      </c>
      <c r="V100" s="64" t="str">
        <f ca="1">IFERROR(__xludf.DUMMYFUNCTION("""COMPUTED_VALUE"""),"hurrikale")</f>
        <v>hurrikale</v>
      </c>
      <c r="W100" s="64" t="str">
        <f ca="1">IFERROR(__xludf.DUMMYFUNCTION("""COMPUTED_VALUE"""),"Special")</f>
        <v>Special</v>
      </c>
      <c r="X100" s="64" t="str">
        <f ca="1">IFERROR(__xludf.DUMMYFUNCTION("""COMPUTED_VALUE"""),"PvZ 2, PvZ 2 Chinease")</f>
        <v>PvZ 2, PvZ 2 Chinease</v>
      </c>
      <c r="Y100" s="65" t="str">
        <f ca="1">IFERROR(__xludf.DUMMYFUNCTION("""COMPUTED_VALUE"""),"https://static.wikia.nocookie.net/plantsvszombies/images/5/5e/Hurrikale2.png/revision/latest?cb=20150823155951")</f>
        <v>https://static.wikia.nocookie.net/plantsvszombies/images/5/5e/Hurrikale2.png/revision/latest?cb=20150823155951</v>
      </c>
    </row>
    <row r="101" spans="1:25" x14ac:dyDescent="0.2">
      <c r="A101" s="64">
        <f ca="1">IFERROR(__xludf.DUMMYFUNCTION("""COMPUTED_VALUE"""),100)</f>
        <v>100</v>
      </c>
      <c r="B101" s="64" t="str">
        <f ca="1">IFERROR(__xludf.DUMMYFUNCTION("""COMPUTED_VALUE"""),"Fire Peashooter")</f>
        <v>Fire Peashooter</v>
      </c>
      <c r="C101" s="64" t="str">
        <f ca="1">IFERROR(__xludf.DUMMYFUNCTION("""COMPUTED_VALUE"""),"Disparervilha Flamejante")</f>
        <v>Disparervilha Flamejante</v>
      </c>
      <c r="D101" s="64" t="str">
        <f ca="1">IFERROR(__xludf.DUMMYFUNCTION("""COMPUTED_VALUE"""),"Aquecida")</f>
        <v>Aquecida</v>
      </c>
      <c r="E101" s="64" t="str">
        <f ca="1">IFERROR(__xludf.DUMMYFUNCTION("""COMPUTED_VALUE"""),"Dispara ervilhas flamejantes contra os zumbis.")</f>
        <v>Dispara ervilhas flamejantes contra os zumbis.</v>
      </c>
      <c r="F101" s="64">
        <f ca="1">IFERROR(__xludf.DUMMYFUNCTION("""COMPUTED_VALUE"""),175)</f>
        <v>175</v>
      </c>
      <c r="G101" s="64">
        <f ca="1">IFERROR(__xludf.DUMMYFUNCTION("""COMPUTED_VALUE"""),300)</f>
        <v>300</v>
      </c>
      <c r="H101" s="64">
        <f ca="1">IFERROR(__xludf.DUMMYFUNCTION("""COMPUTED_VALUE"""),40)</f>
        <v>40</v>
      </c>
      <c r="I101" s="64">
        <f ca="1">IFERROR(__xludf.DUMMYFUNCTION("""COMPUTED_VALUE"""),5)</f>
        <v>5</v>
      </c>
      <c r="J101" s="64" t="str">
        <f ca="1">IFERROR(__xludf.DUMMYFUNCTION("""COMPUTED_VALUE"""),"Creates a fire trail, unfreezing plants and damaging zombies in the row.")</f>
        <v>Creates a fire trail, unfreezing plants and damaging zombies in the row.</v>
      </c>
      <c r="K101" s="64"/>
      <c r="L101" s="64" t="str">
        <f ca="1">IFERROR(__xludf.DUMMYFUNCTION("""COMPUTED_VALUE"""),"Special - Immune to frost
Special - Warms nearby plants")</f>
        <v>Special - Immune to frost
Special - Warms nearby plants</v>
      </c>
      <c r="M101" s="64" t="b">
        <f ca="1">IFERROR(__xludf.DUMMYFUNCTION("""COMPUTED_VALUE"""),FALSE)</f>
        <v>0</v>
      </c>
      <c r="N101" s="64" t="b">
        <f ca="1">IFERROR(__xludf.DUMMYFUNCTION("""COMPUTED_VALUE"""),FALSE)</f>
        <v>0</v>
      </c>
      <c r="O101" s="64">
        <f ca="1">IFERROR(__xludf.DUMMYFUNCTION("""COMPUTED_VALUE"""),0)</f>
        <v>0</v>
      </c>
      <c r="P101" s="64" t="str">
        <f ca="1">IFERROR(__xludf.DUMMYFUNCTION("""COMPUTED_VALUE"""),"Uncommon")</f>
        <v>Uncommon</v>
      </c>
      <c r="Q101" s="64"/>
      <c r="R101" s="64" t="str">
        <f ca="1">IFERROR(__xludf.DUMMYFUNCTION("""COMPUTED_VALUE"""),"Pea")</f>
        <v>Pea</v>
      </c>
      <c r="S101" s="64" t="str">
        <f ca="1">IFERROR(__xludf.DUMMYFUNCTION("""COMPUTED_VALUE"""),"Gemium")</f>
        <v>Gemium</v>
      </c>
      <c r="T101" s="64" t="str">
        <f ca="1">IFERROR(__xludf.DUMMYFUNCTION("""COMPUTED_VALUE"""),"None")</f>
        <v>None</v>
      </c>
      <c r="U101" s="64" t="str">
        <f ca="1">IFERROR(__xludf.DUMMYFUNCTION("""COMPUTED_VALUE"""),"None")</f>
        <v>None</v>
      </c>
      <c r="V101" s="64" t="str">
        <f ca="1">IFERROR(__xludf.DUMMYFUNCTION("""COMPUTED_VALUE"""),"firepeashooter")</f>
        <v>firepeashooter</v>
      </c>
      <c r="W101" s="64" t="str">
        <f ca="1">IFERROR(__xludf.DUMMYFUNCTION("""COMPUTED_VALUE"""),"Ranged")</f>
        <v>Ranged</v>
      </c>
      <c r="X101" s="64" t="str">
        <f ca="1">IFERROR(__xludf.DUMMYFUNCTION("""COMPUTED_VALUE"""),"PvZ 2, PvZ 2 Chinease, PvZ Heroes, PvZ GW, PvZ GW 2, PvZA")</f>
        <v>PvZ 2, PvZ 2 Chinease, PvZ Heroes, PvZ GW, PvZ GW 2, PvZA</v>
      </c>
      <c r="Y101" s="65" t="str">
        <f ca="1">IFERROR(__xludf.DUMMYFUNCTION("""COMPUTED_VALUE"""),"https://static.wikia.nocookie.net/plantsvszombies/images/f/f4/Fire_Peashooter2.png/revision/latest?cb=20150823165447")</f>
        <v>https://static.wikia.nocookie.net/plantsvszombies/images/f/f4/Fire_Peashooter2.png/revision/latest?cb=20150823165447</v>
      </c>
    </row>
    <row r="102" spans="1:25" x14ac:dyDescent="0.2">
      <c r="A102" s="64">
        <f ca="1">IFERROR(__xludf.DUMMYFUNCTION("""COMPUTED_VALUE"""),101)</f>
        <v>101</v>
      </c>
      <c r="B102" s="64" t="str">
        <f ca="1">IFERROR(__xludf.DUMMYFUNCTION("""COMPUTED_VALUE"""),"Lava Guava")</f>
        <v>Lava Guava</v>
      </c>
      <c r="C102" s="64" t="str">
        <f ca="1">IFERROR(__xludf.DUMMYFUNCTION("""COMPUTED_VALUE"""),"Goialava")</f>
        <v>Goialava</v>
      </c>
      <c r="D102" s="64" t="str">
        <f ca="1">IFERROR(__xludf.DUMMYFUNCTION("""COMPUTED_VALUE"""),"Aquecida")</f>
        <v>Aquecida</v>
      </c>
      <c r="E102" s="64" t="str">
        <f ca="1">IFERROR(__xludf.DUMMYFUNCTION("""COMPUTED_VALUE"""),"Entra em erupção causando dano em área, e gerando uma poça de lava.")</f>
        <v>Entra em erupção causando dano em área, e gerando uma poça de lava.</v>
      </c>
      <c r="F102" s="64">
        <f ca="1">IFERROR(__xludf.DUMMYFUNCTION("""COMPUTED_VALUE"""),75)</f>
        <v>75</v>
      </c>
      <c r="G102" s="64">
        <f ca="1">IFERROR(__xludf.DUMMYFUNCTION("""COMPUTED_VALUE"""),300)</f>
        <v>300</v>
      </c>
      <c r="H102" s="64">
        <f ca="1">IFERROR(__xludf.DUMMYFUNCTION("""COMPUTED_VALUE"""),200)</f>
        <v>200</v>
      </c>
      <c r="I102" s="64">
        <f ca="1">IFERROR(__xludf.DUMMYFUNCTION("""COMPUTED_VALUE"""),15)</f>
        <v>15</v>
      </c>
      <c r="J102" s="64" t="str">
        <f ca="1">IFERROR(__xludf.DUMMYFUNCTION("""COMPUTED_VALUE"""),"Fractures the ground in front, dealing damage over several seconds.")</f>
        <v>Fractures the ground in front, dealing damage over several seconds.</v>
      </c>
      <c r="K102" s="64"/>
      <c r="L102" s="64" t="str">
        <f ca="1">IFERROR(__xludf.DUMMYFUNCTION("""COMPUTED_VALUE"""),"Special - Erupts, damaging nearby zombies
Special - Creates a burning lava pool in its tile")</f>
        <v>Special - Erupts, damaging nearby zombies
Special - Creates a burning lava pool in its tile</v>
      </c>
      <c r="M102" s="64" t="b">
        <f ca="1">IFERROR(__xludf.DUMMYFUNCTION("""COMPUTED_VALUE"""),TRUE)</f>
        <v>1</v>
      </c>
      <c r="N102" s="64" t="b">
        <f ca="1">IFERROR(__xludf.DUMMYFUNCTION("""COMPUTED_VALUE"""),FALSE)</f>
        <v>0</v>
      </c>
      <c r="O102" s="64">
        <f ca="1">IFERROR(__xludf.DUMMYFUNCTION("""COMPUTED_VALUE"""),0)</f>
        <v>0</v>
      </c>
      <c r="P102" s="64" t="str">
        <f ca="1">IFERROR(__xludf.DUMMYFUNCTION("""COMPUTED_VALUE"""),"Uncommon")</f>
        <v>Uncommon</v>
      </c>
      <c r="Q102" s="64" t="str">
        <f ca="1">IFERROR(__xludf.DUMMYFUNCTION("""COMPUTED_VALUE"""),"explosion")</f>
        <v>explosion</v>
      </c>
      <c r="R102" s="64" t="str">
        <f ca="1">IFERROR(__xludf.DUMMYFUNCTION("""COMPUTED_VALUE"""),"Fruit")</f>
        <v>Fruit</v>
      </c>
      <c r="S102" s="64" t="str">
        <f ca="1">IFERROR(__xludf.DUMMYFUNCTION("""COMPUTED_VALUE"""),"Gemium")</f>
        <v>Gemium</v>
      </c>
      <c r="T102" s="64" t="str">
        <f ca="1">IFERROR(__xludf.DUMMYFUNCTION("""COMPUTED_VALUE"""),"None")</f>
        <v>None</v>
      </c>
      <c r="U102" s="64" t="str">
        <f ca="1">IFERROR(__xludf.DUMMYFUNCTION("""COMPUTED_VALUE"""),"None")</f>
        <v>None</v>
      </c>
      <c r="V102" s="64" t="str">
        <f ca="1">IFERROR(__xludf.DUMMYFUNCTION("""COMPUTED_VALUE"""),"lavaguava")</f>
        <v>lavaguava</v>
      </c>
      <c r="W102" s="64" t="str">
        <f ca="1">IFERROR(__xludf.DUMMYFUNCTION("""COMPUTED_VALUE"""),"Special")</f>
        <v>Special</v>
      </c>
      <c r="X102" s="64" t="str">
        <f ca="1">IFERROR(__xludf.DUMMYFUNCTION("""COMPUTED_VALUE"""),"PvZ 2, PvZ 2 Chinease, PvZ Heroes")</f>
        <v>PvZ 2, PvZ 2 Chinease, PvZ Heroes</v>
      </c>
      <c r="Y102" s="65" t="str">
        <f ca="1">IFERROR(__xludf.DUMMYFUNCTION("""COMPUTED_VALUE"""),"https://static.wikia.nocookie.net/plantsvszombies/images/6/6a/Lava_Guava2.png/revision/latest?cb=20150823155820")</f>
        <v>https://static.wikia.nocookie.net/plantsvszombies/images/6/6a/Lava_Guava2.png/revision/latest?cb=20150823155820</v>
      </c>
    </row>
    <row r="103" spans="1:25" x14ac:dyDescent="0.2">
      <c r="A103" s="64">
        <f ca="1">IFERROR(__xludf.DUMMYFUNCTION("""COMPUTED_VALUE"""),102)</f>
        <v>102</v>
      </c>
      <c r="B103" s="64" t="str">
        <f ca="1">IFERROR(__xludf.DUMMYFUNCTION("""COMPUTED_VALUE"""),"Shrinking Violet")</f>
        <v>Shrinking Violet</v>
      </c>
      <c r="C103" s="64" t="str">
        <f ca="1">IFERROR(__xludf.DUMMYFUNCTION("""COMPUTED_VALUE"""),"Violeta Encolhedora")</f>
        <v>Violeta Encolhedora</v>
      </c>
      <c r="D103" s="64" t="str">
        <f ca="1">IFERROR(__xludf.DUMMYFUNCTION("""COMPUTED_VALUE"""),"Encanta")</f>
        <v>Encanta</v>
      </c>
      <c r="E103" s="64" t="str">
        <f ca="1">IFERROR(__xludf.DUMMYFUNCTION("""COMPUTED_VALUE"""),"Encolhe os zumbis em área, fazendo com que recebam dano dobrado e inflijam metade de dano.")</f>
        <v>Encolhe os zumbis em área, fazendo com que recebam dano dobrado e inflijam metade de dano.</v>
      </c>
      <c r="F103" s="64">
        <f ca="1">IFERROR(__xludf.DUMMYFUNCTION("""COMPUTED_VALUE"""),50)</f>
        <v>50</v>
      </c>
      <c r="G103" s="64">
        <f ca="1">IFERROR(__xludf.DUMMYFUNCTION("""COMPUTED_VALUE"""),1)</f>
        <v>1</v>
      </c>
      <c r="H103" s="64">
        <f ca="1">IFERROR(__xludf.DUMMYFUNCTION("""COMPUTED_VALUE"""),0)</f>
        <v>0</v>
      </c>
      <c r="I103" s="64">
        <f ca="1">IFERROR(__xludf.DUMMYFUNCTION("""COMPUTED_VALUE"""),15)</f>
        <v>15</v>
      </c>
      <c r="J103" s="64" t="str">
        <f ca="1">IFERROR(__xludf.DUMMYFUNCTION("""COMPUTED_VALUE"""),"Shrinks all zombies on the lawn.")</f>
        <v>Shrinks all zombies on the lawn.</v>
      </c>
      <c r="K103" s="64" t="str">
        <f ca="1">IFERROR(__xludf.DUMMYFUNCTION("""COMPUTED_VALUE"""),"Affects zombies in surrounding tiles")</f>
        <v>Affects zombies in surrounding tiles</v>
      </c>
      <c r="L103" s="64" t="str">
        <f ca="1">IFERROR(__xludf.DUMMYFUNCTION("""COMPUTED_VALUE"""),"Special - Shrinks imps to oblivion")</f>
        <v>Special - Shrinks imps to oblivion</v>
      </c>
      <c r="M103" s="64" t="b">
        <f ca="1">IFERROR(__xludf.DUMMYFUNCTION("""COMPUTED_VALUE"""),TRUE)</f>
        <v>1</v>
      </c>
      <c r="N103" s="64" t="b">
        <f ca="1">IFERROR(__xludf.DUMMYFUNCTION("""COMPUTED_VALUE"""),FALSE)</f>
        <v>0</v>
      </c>
      <c r="O103" s="64">
        <f ca="1">IFERROR(__xludf.DUMMYFUNCTION("""COMPUTED_VALUE"""),0)</f>
        <v>0</v>
      </c>
      <c r="P103" s="64" t="str">
        <f ca="1">IFERROR(__xludf.DUMMYFUNCTION("""COMPUTED_VALUE"""),"Uncommon")</f>
        <v>Uncommon</v>
      </c>
      <c r="Q103" s="64" t="str">
        <f ca="1">IFERROR(__xludf.DUMMYFUNCTION("""COMPUTED_VALUE"""),"control")</f>
        <v>control</v>
      </c>
      <c r="R103" s="64" t="str">
        <f ca="1">IFERROR(__xludf.DUMMYFUNCTION("""COMPUTED_VALUE"""),"Flower")</f>
        <v>Flower</v>
      </c>
      <c r="S103" s="64" t="str">
        <f ca="1">IFERROR(__xludf.DUMMYFUNCTION("""COMPUTED_VALUE"""),"Gemium")</f>
        <v>Gemium</v>
      </c>
      <c r="T103" s="64" t="str">
        <f ca="1">IFERROR(__xludf.DUMMYFUNCTION("""COMPUTED_VALUE"""),"None")</f>
        <v>None</v>
      </c>
      <c r="U103" s="64" t="str">
        <f ca="1">IFERROR(__xludf.DUMMYFUNCTION("""COMPUTED_VALUE"""),"None")</f>
        <v>None</v>
      </c>
      <c r="V103" s="64" t="str">
        <f ca="1">IFERROR(__xludf.DUMMYFUNCTION("""COMPUTED_VALUE"""),"shrinkingviolet")</f>
        <v>shrinkingviolet</v>
      </c>
      <c r="W103" s="64" t="str">
        <f ca="1">IFERROR(__xludf.DUMMYFUNCTION("""COMPUTED_VALUE"""),"Special")</f>
        <v>Special</v>
      </c>
      <c r="X103" s="64" t="str">
        <f ca="1">IFERROR(__xludf.DUMMYFUNCTION("""COMPUTED_VALUE"""),"PvZ 2, PvZ 2 Chinease, PvZ Heroes")</f>
        <v>PvZ 2, PvZ 2 Chinease, PvZ Heroes</v>
      </c>
      <c r="Y103" s="65" t="str">
        <f ca="1">IFERROR(__xludf.DUMMYFUNCTION("""COMPUTED_VALUE"""),"https://static.wikia.nocookie.net/plantsvszombies/images/7/7c/Shrinking_Violet2.png/revision/latest?cb=20160107011055")</f>
        <v>https://static.wikia.nocookie.net/plantsvszombies/images/7/7c/Shrinking_Violet2.png/revision/latest?cb=20160107011055</v>
      </c>
    </row>
    <row r="104" spans="1:25" x14ac:dyDescent="0.2">
      <c r="A104" s="64">
        <f ca="1">IFERROR(__xludf.DUMMYFUNCTION("""COMPUTED_VALUE"""),103)</f>
        <v>103</v>
      </c>
      <c r="B104" s="64" t="str">
        <f ca="1">IFERROR(__xludf.DUMMYFUNCTION("""COMPUTED_VALUE"""),"Eletric Currant")</f>
        <v>Eletric Currant</v>
      </c>
      <c r="C104" s="64" t="str">
        <f ca="1">IFERROR(__xludf.DUMMYFUNCTION("""COMPUTED_VALUE"""),"Groselhétrica")</f>
        <v>Groselhétrica</v>
      </c>
      <c r="D104" s="64" t="str">
        <f ca="1">IFERROR(__xludf.DUMMYFUNCTION("""COMPUTED_VALUE"""),"Fila")</f>
        <v>Fila</v>
      </c>
      <c r="E104" s="64" t="str">
        <f ca="1">IFERROR(__xludf.DUMMYFUNCTION("""COMPUTED_VALUE"""),"Cria cercas elétricas entre duas dessa planta em linha reta.")</f>
        <v>Cria cercas elétricas entre duas dessa planta em linha reta.</v>
      </c>
      <c r="F104" s="64">
        <f ca="1">IFERROR(__xludf.DUMMYFUNCTION("""COMPUTED_VALUE"""),150)</f>
        <v>150</v>
      </c>
      <c r="G104" s="64">
        <f ca="1">IFERROR(__xludf.DUMMYFUNCTION("""COMPUTED_VALUE"""),200)</f>
        <v>200</v>
      </c>
      <c r="H104" s="64">
        <f ca="1">IFERROR(__xludf.DUMMYFUNCTION("""COMPUTED_VALUE"""),48)</f>
        <v>48</v>
      </c>
      <c r="I104" s="64">
        <f ca="1">IFERROR(__xludf.DUMMYFUNCTION("""COMPUTED_VALUE"""),10)</f>
        <v>10</v>
      </c>
      <c r="J104" s="64" t="str">
        <f ca="1">IFERROR(__xludf.DUMMYFUNCTION("""COMPUTED_VALUE"""),"Permanently increase its electric fence and melee damage.")</f>
        <v>Permanently increase its electric fence and melee damage.</v>
      </c>
      <c r="K104" s="64" t="str">
        <f ca="1">IFERROR(__xludf.DUMMYFUNCTION("""COMPUTED_VALUE"""),"Area effect (electric fence)")</f>
        <v>Area effect (electric fence)</v>
      </c>
      <c r="L104" s="64" t="str">
        <f ca="1">IFERROR(__xludf.DUMMYFUNCTION("""COMPUTED_VALUE"""),"Special - knocks zombies back into other lanes when activated")</f>
        <v>Special - knocks zombies back into other lanes when activated</v>
      </c>
      <c r="M104" s="64" t="b">
        <f ca="1">IFERROR(__xludf.DUMMYFUNCTION("""COMPUTED_VALUE"""),FALSE)</f>
        <v>0</v>
      </c>
      <c r="N104" s="64" t="b">
        <f ca="1">IFERROR(__xludf.DUMMYFUNCTION("""COMPUTED_VALUE"""),FALSE)</f>
        <v>0</v>
      </c>
      <c r="O104" s="64">
        <f ca="1">IFERROR(__xludf.DUMMYFUNCTION("""COMPUTED_VALUE"""),0)</f>
        <v>0</v>
      </c>
      <c r="P104" s="64" t="str">
        <f ca="1">IFERROR(__xludf.DUMMYFUNCTION("""COMPUTED_VALUE"""),"Common")</f>
        <v>Common</v>
      </c>
      <c r="Q104" s="64" t="str">
        <f ca="1">IFERROR(__xludf.DUMMYFUNCTION("""COMPUTED_VALUE"""),"area-effect")</f>
        <v>area-effect</v>
      </c>
      <c r="R104" s="64" t="str">
        <f ca="1">IFERROR(__xludf.DUMMYFUNCTION("""COMPUTED_VALUE"""),"Berry")</f>
        <v>Berry</v>
      </c>
      <c r="S104" s="64" t="str">
        <f ca="1">IFERROR(__xludf.DUMMYFUNCTION("""COMPUTED_VALUE"""),"Gemium")</f>
        <v>Gemium</v>
      </c>
      <c r="T104" s="64" t="str">
        <f ca="1">IFERROR(__xludf.DUMMYFUNCTION("""COMPUTED_VALUE"""),"None")</f>
        <v>None</v>
      </c>
      <c r="U104" s="64" t="str">
        <f ca="1">IFERROR(__xludf.DUMMYFUNCTION("""COMPUTED_VALUE"""),"None")</f>
        <v>None</v>
      </c>
      <c r="V104" s="64" t="str">
        <f ca="1">IFERROR(__xludf.DUMMYFUNCTION("""COMPUTED_VALUE"""),"electriccurrant")</f>
        <v>electriccurrant</v>
      </c>
      <c r="W104" s="64" t="str">
        <f ca="1">IFERROR(__xludf.DUMMYFUNCTION("""COMPUTED_VALUE"""),"Special")</f>
        <v>Special</v>
      </c>
      <c r="X104" s="64" t="str">
        <f ca="1">IFERROR(__xludf.DUMMYFUNCTION("""COMPUTED_VALUE"""),"PvZ 2, PvZ 2 Chinease")</f>
        <v>PvZ 2, PvZ 2 Chinease</v>
      </c>
      <c r="Y104" s="65" t="str">
        <f ca="1">IFERROR(__xludf.DUMMYFUNCTION("""COMPUTED_VALUE"""),"https://static.wikia.nocookie.net/plantsvszombies/images/a/a9/Electric_Currant2.png/revision/latest?cb=20160827013119")</f>
        <v>https://static.wikia.nocookie.net/plantsvszombies/images/a/a9/Electric_Currant2.png/revision/latest?cb=20160827013119</v>
      </c>
    </row>
    <row r="105" spans="1:25" x14ac:dyDescent="0.2">
      <c r="A105" s="64">
        <f ca="1">IFERROR(__xludf.DUMMYFUNCTION("""COMPUTED_VALUE"""),104)</f>
        <v>104</v>
      </c>
      <c r="B105" s="64" t="str">
        <f ca="1">IFERROR(__xludf.DUMMYFUNCTION("""COMPUTED_VALUE"""),"Kiwibeast")</f>
        <v>Kiwibeast</v>
      </c>
      <c r="C105" s="64" t="str">
        <f ca="1">IFERROR(__xludf.DUMMYFUNCTION("""COMPUTED_VALUE"""),"Hulkiwi")</f>
        <v>Hulkiwi</v>
      </c>
      <c r="D105" s="64" t="str">
        <f ca="1">IFERROR(__xludf.DUMMYFUNCTION("""COMPUTED_VALUE"""),"Surra")</f>
        <v>Surra</v>
      </c>
      <c r="E105" s="64" t="str">
        <f ca="1">IFERROR(__xludf.DUMMYFUNCTION("""COMPUTED_VALUE"""),"Bate no chão criando uma onda de som. Além disso, fica maior e mais forte a medida que é machucado.")</f>
        <v>Bate no chão criando uma onda de som. Além disso, fica maior e mais forte a medida que é machucado.</v>
      </c>
      <c r="F105" s="64">
        <f ca="1">IFERROR(__xludf.DUMMYFUNCTION("""COMPUTED_VALUE"""),175)</f>
        <v>175</v>
      </c>
      <c r="G105" s="64">
        <f ca="1">IFERROR(__xludf.DUMMYFUNCTION("""COMPUTED_VALUE"""),2000)</f>
        <v>2000</v>
      </c>
      <c r="H105" s="64">
        <f ca="1">IFERROR(__xludf.DUMMYFUNCTION("""COMPUTED_VALUE"""),40)</f>
        <v>40</v>
      </c>
      <c r="I105" s="64">
        <f ca="1">IFERROR(__xludf.DUMMYFUNCTION("""COMPUTED_VALUE"""),15)</f>
        <v>15</v>
      </c>
      <c r="J105" s="64" t="str">
        <f ca="1">IFERROR(__xludf.DUMMYFUNCTION("""COMPUTED_VALUE"""),"Immediately grows to its last stage and deal massive damage to the surrounding area.")</f>
        <v>Immediately grows to its last stage and deal massive damage to the surrounding area.</v>
      </c>
      <c r="K105" s="64"/>
      <c r="L105" s="64" t="str">
        <f ca="1">IFERROR(__xludf.DUMMYFUNCTION("""COMPUTED_VALUE"""),"Special - Knocks back zombies during growth")</f>
        <v>Special - Knocks back zombies during growth</v>
      </c>
      <c r="M105" s="64" t="b">
        <f ca="1">IFERROR(__xludf.DUMMYFUNCTION("""COMPUTED_VALUE"""),FALSE)</f>
        <v>0</v>
      </c>
      <c r="N105" s="64" t="b">
        <f ca="1">IFERROR(__xludf.DUMMYFUNCTION("""COMPUTED_VALUE"""),FALSE)</f>
        <v>0</v>
      </c>
      <c r="O105" s="64">
        <f ca="1">IFERROR(__xludf.DUMMYFUNCTION("""COMPUTED_VALUE"""),0)</f>
        <v>0</v>
      </c>
      <c r="P105" s="64" t="str">
        <f ca="1">IFERROR(__xludf.DUMMYFUNCTION("""COMPUTED_VALUE"""),"Common")</f>
        <v>Common</v>
      </c>
      <c r="Q105" s="64" t="str">
        <f ca="1">IFERROR(__xludf.DUMMYFUNCTION("""COMPUTED_VALUE"""),"area-effect")</f>
        <v>area-effect</v>
      </c>
      <c r="R105" s="64" t="str">
        <f ca="1">IFERROR(__xludf.DUMMYFUNCTION("""COMPUTED_VALUE"""),"Fruit")</f>
        <v>Fruit</v>
      </c>
      <c r="S105" s="64" t="str">
        <f ca="1">IFERROR(__xludf.DUMMYFUNCTION("""COMPUTED_VALUE"""),"Gemium")</f>
        <v>Gemium</v>
      </c>
      <c r="T105" s="64" t="str">
        <f ca="1">IFERROR(__xludf.DUMMYFUNCTION("""COMPUTED_VALUE"""),"None")</f>
        <v>None</v>
      </c>
      <c r="U105" s="64" t="str">
        <f ca="1">IFERROR(__xludf.DUMMYFUNCTION("""COMPUTED_VALUE"""),"70")</f>
        <v>70</v>
      </c>
      <c r="V105" s="64" t="str">
        <f ca="1">IFERROR(__xludf.DUMMYFUNCTION("""COMPUTED_VALUE"""),"kiwibeast")</f>
        <v>kiwibeast</v>
      </c>
      <c r="W105" s="64" t="str">
        <f ca="1">IFERROR(__xludf.DUMMYFUNCTION("""COMPUTED_VALUE"""),"Vanguard")</f>
        <v>Vanguard</v>
      </c>
      <c r="X105" s="64" t="str">
        <f ca="1">IFERROR(__xludf.DUMMYFUNCTION("""COMPUTED_VALUE"""),"PvZ 2, PvZ 2 Chinease")</f>
        <v>PvZ 2, PvZ 2 Chinease</v>
      </c>
      <c r="Y105" s="65" t="str">
        <f ca="1">IFERROR(__xludf.DUMMYFUNCTION("""COMPUTED_VALUE"""),"https://static.wikia.nocookie.net/plantsvszombies/images/e/ef/Kiwibeast2.png/revision/latest?cb=20210121015624")</f>
        <v>https://static.wikia.nocookie.net/plantsvszombies/images/e/ef/Kiwibeast2.png/revision/latest?cb=20210121015624</v>
      </c>
    </row>
    <row r="106" spans="1:25" x14ac:dyDescent="0.2">
      <c r="A106" s="64">
        <f ca="1">IFERROR(__xludf.DUMMYFUNCTION("""COMPUTED_VALUE"""),105)</f>
        <v>105</v>
      </c>
      <c r="B106" s="64" t="str">
        <f ca="1">IFERROR(__xludf.DUMMYFUNCTION("""COMPUTED_VALUE"""),"Tortchwood")</f>
        <v>Tortchwood</v>
      </c>
      <c r="C106" s="64" t="str">
        <f ca="1">IFERROR(__xludf.DUMMYFUNCTION("""COMPUTED_VALUE"""),"Tronco-flamejante")</f>
        <v>Tronco-flamejante</v>
      </c>
      <c r="D106" s="64" t="str">
        <f ca="1">IFERROR(__xludf.DUMMYFUNCTION("""COMPUTED_VALUE"""),"Dispara")</f>
        <v>Dispara</v>
      </c>
      <c r="E106" s="64" t="str">
        <f ca="1">IFERROR(__xludf.DUMMYFUNCTION("""COMPUTED_VALUE"""),"Incrementa o poder de ervilhas atrás dele. Além de explodir quando for nocauteado.")</f>
        <v>Incrementa o poder de ervilhas atrás dele. Além de explodir quando for nocauteado.</v>
      </c>
      <c r="F106" s="64">
        <f ca="1">IFERROR(__xludf.DUMMYFUNCTION("""COMPUTED_VALUE"""),175)</f>
        <v>175</v>
      </c>
      <c r="G106" s="64">
        <f ca="1">IFERROR(__xludf.DUMMYFUNCTION("""COMPUTED_VALUE"""),2000)</f>
        <v>2000</v>
      </c>
      <c r="H106" s="64">
        <f ca="1">IFERROR(__xludf.DUMMYFUNCTION("""COMPUTED_VALUE"""),450)</f>
        <v>450</v>
      </c>
      <c r="I106" s="64">
        <f ca="1">IFERROR(__xludf.DUMMYFUNCTION("""COMPUTED_VALUE"""),5)</f>
        <v>5</v>
      </c>
      <c r="J106" s="64" t="str">
        <f ca="1">IFERROR(__xludf.DUMMYFUNCTION("""COMPUTED_VALUE"""),"Permanently increases the damage bonus of all the peas that pass through it.")</f>
        <v>Permanently increases the damage bonus of all the peas that pass through it.</v>
      </c>
      <c r="K106" s="64"/>
      <c r="L106" s="64" t="str">
        <f ca="1">IFERROR(__xludf.DUMMYFUNCTION("""COMPUTED_VALUE"""),"Special - Damages zombies at close range
Special - Does lane-wide flame damage when destroyed")</f>
        <v>Special - Damages zombies at close range
Special - Does lane-wide flame damage when destroyed</v>
      </c>
      <c r="M106" s="64" t="b">
        <f ca="1">IFERROR(__xludf.DUMMYFUNCTION("""COMPUTED_VALUE"""),FALSE)</f>
        <v>0</v>
      </c>
      <c r="N106" s="64" t="b">
        <f ca="1">IFERROR(__xludf.DUMMYFUNCTION("""COMPUTED_VALUE"""),FALSE)</f>
        <v>0</v>
      </c>
      <c r="O106" s="64">
        <f ca="1">IFERROR(__xludf.DUMMYFUNCTION("""COMPUTED_VALUE"""),0)</f>
        <v>0</v>
      </c>
      <c r="P106" s="64" t="str">
        <f ca="1">IFERROR(__xludf.DUMMYFUNCTION("""COMPUTED_VALUE"""),"Rare")</f>
        <v>Rare</v>
      </c>
      <c r="Q106" s="64" t="str">
        <f ca="1">IFERROR(__xludf.DUMMYFUNCTION("""COMPUTED_VALUE"""),"warm, counter")</f>
        <v>warm, counter</v>
      </c>
      <c r="R106" s="64" t="str">
        <f ca="1">IFERROR(__xludf.DUMMYFUNCTION("""COMPUTED_VALUE"""),"Wood")</f>
        <v>Wood</v>
      </c>
      <c r="S106" s="64" t="str">
        <f ca="1">IFERROR(__xludf.DUMMYFUNCTION("""COMPUTED_VALUE"""),"Sementium")</f>
        <v>Sementium</v>
      </c>
      <c r="T106" s="64" t="str">
        <f ca="1">IFERROR(__xludf.DUMMYFUNCTION("""COMPUTED_VALUE"""),"None")</f>
        <v>None</v>
      </c>
      <c r="U106" s="64" t="str">
        <f ca="1">IFERROR(__xludf.DUMMYFUNCTION("""COMPUTED_VALUE"""),"None")</f>
        <v>None</v>
      </c>
      <c r="V106" s="64" t="str">
        <f ca="1">IFERROR(__xludf.DUMMYFUNCTION("""COMPUTED_VALUE"""),"torchwood")</f>
        <v>torchwood</v>
      </c>
      <c r="W106" s="64" t="str">
        <f ca="1">IFERROR(__xludf.DUMMYFUNCTION("""COMPUTED_VALUE"""),"Support")</f>
        <v>Support</v>
      </c>
      <c r="X106" s="64" t="str">
        <f ca="1">IFERROR(__xludf.DUMMYFUNCTION("""COMPUTED_VALUE"""),"PvZ, PvZ 2, PvZ 2 Chinease, PvZ Heroes, PvZ GW 2")</f>
        <v>PvZ, PvZ 2, PvZ 2 Chinease, PvZ Heroes, PvZ GW 2</v>
      </c>
      <c r="Y106" s="65" t="str">
        <f ca="1">IFERROR(__xludf.DUMMYFUNCTION("""COMPUTED_VALUE"""),"https://static.wikia.nocookie.net/plantsvszombies/images/7/74/Torchwood2.png/revision/latest?cb=20190624015915")</f>
        <v>https://static.wikia.nocookie.net/plantsvszombies/images/7/74/Torchwood2.png/revision/latest?cb=20190624015915</v>
      </c>
    </row>
    <row r="107" spans="1:25" x14ac:dyDescent="0.2">
      <c r="A107" s="64">
        <f ca="1">IFERROR(__xludf.DUMMYFUNCTION("""COMPUTED_VALUE"""),106)</f>
        <v>106</v>
      </c>
      <c r="B107" s="64" t="str">
        <f ca="1">IFERROR(__xludf.DUMMYFUNCTION("""COMPUTED_VALUE"""),"Starfruit")</f>
        <v>Starfruit</v>
      </c>
      <c r="C107" s="64" t="str">
        <f ca="1">IFERROR(__xludf.DUMMYFUNCTION("""COMPUTED_VALUE"""),"Carambola")</f>
        <v>Carambola</v>
      </c>
      <c r="D107" s="64" t="str">
        <f ca="1">IFERROR(__xludf.DUMMYFUNCTION("""COMPUTED_VALUE"""),"Dispara")</f>
        <v>Dispara</v>
      </c>
      <c r="E107" s="64" t="str">
        <f ca="1">IFERROR(__xludf.DUMMYFUNCTION("""COMPUTED_VALUE"""),"Dispara estrelas em cinco colunas")</f>
        <v>Dispara estrelas em cinco colunas</v>
      </c>
      <c r="F107" s="64">
        <f ca="1">IFERROR(__xludf.DUMMYFUNCTION("""COMPUTED_VALUE"""),150)</f>
        <v>150</v>
      </c>
      <c r="G107" s="64">
        <f ca="1">IFERROR(__xludf.DUMMYFUNCTION("""COMPUTED_VALUE"""),300)</f>
        <v>300</v>
      </c>
      <c r="H107" s="64">
        <f ca="1">IFERROR(__xludf.DUMMYFUNCTION("""COMPUTED_VALUE"""),20)</f>
        <v>20</v>
      </c>
      <c r="I107" s="64">
        <f ca="1">IFERROR(__xludf.DUMMYFUNCTION("""COMPUTED_VALUE"""),5)</f>
        <v>5</v>
      </c>
      <c r="J107" s="64" t="str">
        <f ca="1">IFERROR(__xludf.DUMMYFUNCTION("""COMPUTED_VALUE"""),"Shoots ten giant stars in five directions, dealing damage.")</f>
        <v>Shoots ten giant stars in five directions, dealing damage.</v>
      </c>
      <c r="K107" s="64"/>
      <c r="L107" s="64"/>
      <c r="M107" s="64" t="b">
        <f ca="1">IFERROR(__xludf.DUMMYFUNCTION("""COMPUTED_VALUE"""),FALSE)</f>
        <v>0</v>
      </c>
      <c r="N107" s="64" t="b">
        <f ca="1">IFERROR(__xludf.DUMMYFUNCTION("""COMPUTED_VALUE"""),FALSE)</f>
        <v>0</v>
      </c>
      <c r="O107" s="64">
        <f ca="1">IFERROR(__xludf.DUMMYFUNCTION("""COMPUTED_VALUE"""),0)</f>
        <v>0</v>
      </c>
      <c r="P107" s="64" t="str">
        <f ca="1">IFERROR(__xludf.DUMMYFUNCTION("""COMPUTED_VALUE"""),"Uncommon")</f>
        <v>Uncommon</v>
      </c>
      <c r="Q107" s="64" t="str">
        <f ca="1">IFERROR(__xludf.DUMMYFUNCTION("""COMPUTED_VALUE"""),"area-effect, attack_backwards")</f>
        <v>area-effect, attack_backwards</v>
      </c>
      <c r="R107" s="64" t="str">
        <f ca="1">IFERROR(__xludf.DUMMYFUNCTION("""COMPUTED_VALUE"""),"Fruit")</f>
        <v>Fruit</v>
      </c>
      <c r="S107" s="64" t="str">
        <f ca="1">IFERROR(__xludf.DUMMYFUNCTION("""COMPUTED_VALUE"""),"Sementium")</f>
        <v>Sementium</v>
      </c>
      <c r="T107" s="64" t="str">
        <f ca="1">IFERROR(__xludf.DUMMYFUNCTION("""COMPUTED_VALUE"""),"None")</f>
        <v>None</v>
      </c>
      <c r="U107" s="64" t="str">
        <f ca="1">IFERROR(__xludf.DUMMYFUNCTION("""COMPUTED_VALUE"""),"None")</f>
        <v>None</v>
      </c>
      <c r="V107" s="64" t="str">
        <f ca="1">IFERROR(__xludf.DUMMYFUNCTION("""COMPUTED_VALUE"""),"starfruit")</f>
        <v>starfruit</v>
      </c>
      <c r="W107" s="64" t="str">
        <f ca="1">IFERROR(__xludf.DUMMYFUNCTION("""COMPUTED_VALUE"""),"Ranged")</f>
        <v>Ranged</v>
      </c>
      <c r="X107" s="64" t="str">
        <f ca="1">IFERROR(__xludf.DUMMYFUNCTION("""COMPUTED_VALUE"""),"PvZ, PvZ 2, PvZ 2 Chinease, PvZ Heroes")</f>
        <v>PvZ, PvZ 2, PvZ 2 Chinease, PvZ Heroes</v>
      </c>
      <c r="Y107" s="65" t="str">
        <f ca="1">IFERROR(__xludf.DUMMYFUNCTION("""COMPUTED_VALUE"""),"https://static.wikia.nocookie.net/plantsvszombies/images/f/fb/Starfruit2.png/revision/latest?cb=20190624020055")</f>
        <v>https://static.wikia.nocookie.net/plantsvszombies/images/f/fb/Starfruit2.png/revision/latest?cb=20190624020055</v>
      </c>
    </row>
    <row r="108" spans="1:25" x14ac:dyDescent="0.2">
      <c r="A108" s="64">
        <f ca="1">IFERROR(__xludf.DUMMYFUNCTION("""COMPUTED_VALUE"""),107)</f>
        <v>107</v>
      </c>
      <c r="B108" s="64" t="str">
        <f ca="1">IFERROR(__xludf.DUMMYFUNCTION("""COMPUTED_VALUE"""),"Dandelion")</f>
        <v>Dandelion</v>
      </c>
      <c r="C108" s="64" t="str">
        <f ca="1">IFERROR(__xludf.DUMMYFUNCTION("""COMPUTED_VALUE"""),"Dente-de-leão")</f>
        <v>Dente-de-leão</v>
      </c>
      <c r="D108" s="64" t="str">
        <f ca="1">IFERROR(__xludf.DUMMYFUNCTION("""COMPUTED_VALUE"""),"Dispara")</f>
        <v>Dispara</v>
      </c>
      <c r="E108" s="64" t="str">
        <f ca="1">IFERROR(__xludf.DUMMYFUNCTION("""COMPUTED_VALUE"""),"Envia sementes explosivas pelo ar, que podem acertar nas colunas adjacentes.")</f>
        <v>Envia sementes explosivas pelo ar, que podem acertar nas colunas adjacentes.</v>
      </c>
      <c r="F108" s="64">
        <f ca="1">IFERROR(__xludf.DUMMYFUNCTION("""COMPUTED_VALUE"""),275)</f>
        <v>275</v>
      </c>
      <c r="G108" s="64">
        <f ca="1">IFERROR(__xludf.DUMMYFUNCTION("""COMPUTED_VALUE"""),300)</f>
        <v>300</v>
      </c>
      <c r="H108" s="64">
        <f ca="1">IFERROR(__xludf.DUMMYFUNCTION("""COMPUTED_VALUE"""),50)</f>
        <v>50</v>
      </c>
      <c r="I108" s="64">
        <f ca="1">IFERROR(__xludf.DUMMYFUNCTION("""COMPUTED_VALUE"""),15)</f>
        <v>15</v>
      </c>
      <c r="J108" s="64" t="str">
        <f ca="1">IFERROR(__xludf.DUMMYFUNCTION("""COMPUTED_VALUE"""),"Shoots ten big dandelion seeds at random zombies, dealing heavy damage.")</f>
        <v>Shoots ten big dandelion seeds at random zombies, dealing heavy damage.</v>
      </c>
      <c r="K108" s="64" t="str">
        <f ca="1">IFERROR(__xludf.DUMMYFUNCTION("""COMPUTED_VALUE"""),"Can attack targets in the lane above or below")</f>
        <v>Can attack targets in the lane above or below</v>
      </c>
      <c r="L108" s="64" t="str">
        <f ca="1">IFERROR(__xludf.DUMMYFUNCTION("""COMPUTED_VALUE"""),"Special - May react to certain strong winds")</f>
        <v>Special - May react to certain strong winds</v>
      </c>
      <c r="M108" s="64" t="b">
        <f ca="1">IFERROR(__xludf.DUMMYFUNCTION("""COMPUTED_VALUE"""),FALSE)</f>
        <v>0</v>
      </c>
      <c r="N108" s="64" t="b">
        <f ca="1">IFERROR(__xludf.DUMMYFUNCTION("""COMPUTED_VALUE"""),FALSE)</f>
        <v>0</v>
      </c>
      <c r="O108" s="64">
        <f ca="1">IFERROR(__xludf.DUMMYFUNCTION("""COMPUTED_VALUE"""),0)</f>
        <v>0</v>
      </c>
      <c r="P108" s="64" t="str">
        <f ca="1">IFERROR(__xludf.DUMMYFUNCTION("""COMPUTED_VALUE"""),"Rare")</f>
        <v>Rare</v>
      </c>
      <c r="Q108" s="64"/>
      <c r="R108" s="64" t="str">
        <f ca="1">IFERROR(__xludf.DUMMYFUNCTION("""COMPUTED_VALUE"""),"Flower")</f>
        <v>Flower</v>
      </c>
      <c r="S108" s="64" t="str">
        <f ca="1">IFERROR(__xludf.DUMMYFUNCTION("""COMPUTED_VALUE"""),"Sementium")</f>
        <v>Sementium</v>
      </c>
      <c r="T108" s="64" t="str">
        <f ca="1">IFERROR(__xludf.DUMMYFUNCTION("""COMPUTED_VALUE"""),"None")</f>
        <v>None</v>
      </c>
      <c r="U108" s="64" t="str">
        <f ca="1">IFERROR(__xludf.DUMMYFUNCTION("""COMPUTED_VALUE"""),"None")</f>
        <v>None</v>
      </c>
      <c r="V108" s="64" t="str">
        <f ca="1">IFERROR(__xludf.DUMMYFUNCTION("""COMPUTED_VALUE"""),"dandelion")</f>
        <v>dandelion</v>
      </c>
      <c r="W108" s="64" t="str">
        <f ca="1">IFERROR(__xludf.DUMMYFUNCTION("""COMPUTED_VALUE"""),"Ranged")</f>
        <v>Ranged</v>
      </c>
      <c r="X108" s="64" t="str">
        <f ca="1">IFERROR(__xludf.DUMMYFUNCTION("""COMPUTED_VALUE"""),"PvZ 2, PvZ 2 Chinease, PvZ GW 2, PvZ BfN")</f>
        <v>PvZ 2, PvZ 2 Chinease, PvZ GW 2, PvZ BfN</v>
      </c>
      <c r="Y108" s="65" t="str">
        <f ca="1">IFERROR(__xludf.DUMMYFUNCTION("""COMPUTED_VALUE"""),"https://static.wikia.nocookie.net/plantsvszombies/images/3/3c/Dandelion2.png/revision/latest?cb=20150822203823")</f>
        <v>https://static.wikia.nocookie.net/plantsvszombies/images/3/3c/Dandelion2.png/revision/latest?cb=20150822203823</v>
      </c>
    </row>
    <row r="109" spans="1:25" x14ac:dyDescent="0.2">
      <c r="A109" s="64">
        <f ca="1">IFERROR(__xludf.DUMMYFUNCTION("""COMPUTED_VALUE"""),108)</f>
        <v>108</v>
      </c>
      <c r="B109" s="64" t="str">
        <f ca="1">IFERROR(__xludf.DUMMYFUNCTION("""COMPUTED_VALUE"""),"Blooming Heart")</f>
        <v>Blooming Heart</v>
      </c>
      <c r="C109" s="64" t="str">
        <f ca="1">IFERROR(__xludf.DUMMYFUNCTION("""COMPUTED_VALUE"""),"Flor-Coração")</f>
        <v>Flor-Coração</v>
      </c>
      <c r="D109" s="64" t="str">
        <f ca="1">IFERROR(__xludf.DUMMYFUNCTION("""COMPUTED_VALUE"""),"Envenenada")</f>
        <v>Envenenada</v>
      </c>
      <c r="E109" s="64" t="str">
        <f ca="1">IFERROR(__xludf.DUMMYFUNCTION("""COMPUTED_VALUE"""),"Ataca os zumbis em parábola, causando cada vez mais dano sempre que acerta o mesmo alvo.")</f>
        <v>Ataca os zumbis em parábola, causando cada vez mais dano sempre que acerta o mesmo alvo.</v>
      </c>
      <c r="F109" s="64">
        <f ca="1">IFERROR(__xludf.DUMMYFUNCTION("""COMPUTED_VALUE"""),150)</f>
        <v>150</v>
      </c>
      <c r="G109" s="64">
        <f ca="1">IFERROR(__xludf.DUMMYFUNCTION("""COMPUTED_VALUE"""),300)</f>
        <v>300</v>
      </c>
      <c r="H109" s="64">
        <f ca="1">IFERROR(__xludf.DUMMYFUNCTION("""COMPUTED_VALUE"""),40)</f>
        <v>40</v>
      </c>
      <c r="I109" s="64">
        <f ca="1">IFERROR(__xludf.DUMMYFUNCTION("""COMPUTED_VALUE"""),5)</f>
        <v>5</v>
      </c>
      <c r="J109" s="64" t="str">
        <f ca="1">IFERROR(__xludf.DUMMYFUNCTION("""COMPUTED_VALUE"""),"Throw large projectiles at every zombie, dealing massive damage.")</f>
        <v>Throw large projectiles at every zombie, dealing massive damage.</v>
      </c>
      <c r="K109" s="64"/>
      <c r="L109" s="64" t="str">
        <f ca="1">IFERROR(__xludf.DUMMYFUNCTION("""COMPUTED_VALUE"""),"Special - Damage increases across multiple Blooming Hearts")</f>
        <v>Special - Damage increases across multiple Blooming Hearts</v>
      </c>
      <c r="M109" s="64" t="b">
        <f ca="1">IFERROR(__xludf.DUMMYFUNCTION("""COMPUTED_VALUE"""),FALSE)</f>
        <v>0</v>
      </c>
      <c r="N109" s="64" t="b">
        <f ca="1">IFERROR(__xludf.DUMMYFUNCTION("""COMPUTED_VALUE"""),FALSE)</f>
        <v>0</v>
      </c>
      <c r="O109" s="64">
        <f ca="1">IFERROR(__xludf.DUMMYFUNCTION("""COMPUTED_VALUE"""),0)</f>
        <v>0</v>
      </c>
      <c r="P109" s="64" t="str">
        <f ca="1">IFERROR(__xludf.DUMMYFUNCTION("""COMPUTED_VALUE"""),"Uncommon")</f>
        <v>Uncommon</v>
      </c>
      <c r="Q109" s="64"/>
      <c r="R109" s="64" t="str">
        <f ca="1">IFERROR(__xludf.DUMMYFUNCTION("""COMPUTED_VALUE"""),"Flower")</f>
        <v>Flower</v>
      </c>
      <c r="S109" s="64" t="str">
        <f ca="1">IFERROR(__xludf.DUMMYFUNCTION("""COMPUTED_VALUE"""),"Sementium")</f>
        <v>Sementium</v>
      </c>
      <c r="T109" s="64" t="str">
        <f ca="1">IFERROR(__xludf.DUMMYFUNCTION("""COMPUTED_VALUE"""),"None")</f>
        <v>None</v>
      </c>
      <c r="U109" s="64" t="str">
        <f ca="1">IFERROR(__xludf.DUMMYFUNCTION("""COMPUTED_VALUE"""),"None")</f>
        <v>None</v>
      </c>
      <c r="V109" s="64" t="str">
        <f ca="1">IFERROR(__xludf.DUMMYFUNCTION("""COMPUTED_VALUE"""),"bloominghearts")</f>
        <v>bloominghearts</v>
      </c>
      <c r="W109" s="64" t="str">
        <f ca="1">IFERROR(__xludf.DUMMYFUNCTION("""COMPUTED_VALUE"""),"Ranged")</f>
        <v>Ranged</v>
      </c>
      <c r="X109" s="64" t="str">
        <f ca="1">IFERROR(__xludf.DUMMYFUNCTION("""COMPUTED_VALUE"""),"PvZ 2, PvZ 2 Chinease, PvZ Heroes")</f>
        <v>PvZ 2, PvZ 2 Chinease, PvZ Heroes</v>
      </c>
      <c r="Y109" s="65" t="str">
        <f ca="1">IFERROR(__xludf.DUMMYFUNCTION("""COMPUTED_VALUE"""),"https://static.wikia.nocookie.net/plantsvszombies/images/9/95/Blooming_Heart2.png/revision/latest?cb=20160204153716")</f>
        <v>https://static.wikia.nocookie.net/plantsvszombies/images/9/95/Blooming_Heart2.png/revision/latest?cb=20160204153716</v>
      </c>
    </row>
    <row r="110" spans="1:25" x14ac:dyDescent="0.2">
      <c r="A110" s="64">
        <f ca="1">IFERROR(__xludf.DUMMYFUNCTION("""COMPUTED_VALUE"""),109)</f>
        <v>109</v>
      </c>
      <c r="B110" s="64" t="str">
        <f ca="1">IFERROR(__xludf.DUMMYFUNCTION("""COMPUTED_VALUE"""),"Explode-O-Nut")</f>
        <v>Explode-O-Nut</v>
      </c>
      <c r="C110" s="64" t="str">
        <f ca="1">IFERROR(__xludf.DUMMYFUNCTION("""COMPUTED_VALUE"""),"Noxplosiva")</f>
        <v>Noxplosiva</v>
      </c>
      <c r="D110" s="64" t="str">
        <f ca="1">IFERROR(__xludf.DUMMYFUNCTION("""COMPUTED_VALUE"""),"Bombarda")</f>
        <v>Bombarda</v>
      </c>
      <c r="E110" s="64" t="str">
        <f ca="1">IFERROR(__xludf.DUMMYFUNCTION("""COMPUTED_VALUE"""),"Fornece uma proteção básica para as plantas, então explode quando for nocauteado.")</f>
        <v>Fornece uma proteção básica para as plantas, então explode quando for nocauteado.</v>
      </c>
      <c r="F110" s="64">
        <f ca="1">IFERROR(__xludf.DUMMYFUNCTION("""COMPUTED_VALUE"""),50)</f>
        <v>50</v>
      </c>
      <c r="G110" s="64">
        <f ca="1">IFERROR(__xludf.DUMMYFUNCTION("""COMPUTED_VALUE"""),3000)</f>
        <v>3000</v>
      </c>
      <c r="H110" s="64">
        <f ca="1">IFERROR(__xludf.DUMMYFUNCTION("""COMPUTED_VALUE"""),1800)</f>
        <v>1800</v>
      </c>
      <c r="I110" s="64">
        <f ca="1">IFERROR(__xludf.DUMMYFUNCTION("""COMPUTED_VALUE"""),10)</f>
        <v>10</v>
      </c>
      <c r="J110" s="64" t="str">
        <f ca="1">IFERROR(__xludf.DUMMYFUNCTION("""COMPUTED_VALUE"""),"Heals itself and gains an armor that will absorbs additional damage. If the armor is destroyed, unleashes a large explosion.")</f>
        <v>Heals itself and gains an armor that will absorbs additional damage. If the armor is destroyed, unleashes a large explosion.</v>
      </c>
      <c r="K110" s="64"/>
      <c r="L110" s="64"/>
      <c r="M110" s="64" t="b">
        <f ca="1">IFERROR(__xludf.DUMMYFUNCTION("""COMPUTED_VALUE"""),FALSE)</f>
        <v>0</v>
      </c>
      <c r="N110" s="64" t="b">
        <f ca="1">IFERROR(__xludf.DUMMYFUNCTION("""COMPUTED_VALUE"""),FALSE)</f>
        <v>0</v>
      </c>
      <c r="O110" s="64">
        <f ca="1">IFERROR(__xludf.DUMMYFUNCTION("""COMPUTED_VALUE"""),0)</f>
        <v>0</v>
      </c>
      <c r="P110" s="64" t="str">
        <f ca="1">IFERROR(__xludf.DUMMYFUNCTION("""COMPUTED_VALUE"""),"Rare")</f>
        <v>Rare</v>
      </c>
      <c r="Q110" s="64" t="str">
        <f ca="1">IFERROR(__xludf.DUMMYFUNCTION("""COMPUTED_VALUE"""),"area-effect, explosion")</f>
        <v>area-effect, explosion</v>
      </c>
      <c r="R110" s="64" t="str">
        <f ca="1">IFERROR(__xludf.DUMMYFUNCTION("""COMPUTED_VALUE"""),"Nut")</f>
        <v>Nut</v>
      </c>
      <c r="S110" s="64" t="str">
        <f ca="1">IFERROR(__xludf.DUMMYFUNCTION("""COMPUTED_VALUE"""),"Sementium")</f>
        <v>Sementium</v>
      </c>
      <c r="T110" s="64" t="str">
        <f ca="1">IFERROR(__xludf.DUMMYFUNCTION("""COMPUTED_VALUE"""),"None")</f>
        <v>None</v>
      </c>
      <c r="U110" s="64" t="str">
        <f ca="1">IFERROR(__xludf.DUMMYFUNCTION("""COMPUTED_VALUE"""),"None")</f>
        <v>None</v>
      </c>
      <c r="V110" s="64" t="str">
        <f ca="1">IFERROR(__xludf.DUMMYFUNCTION("""COMPUTED_VALUE"""),"explodeonut")</f>
        <v>explodeonut</v>
      </c>
      <c r="W110" s="64" t="str">
        <f ca="1">IFERROR(__xludf.DUMMYFUNCTION("""COMPUTED_VALUE"""),"Tough")</f>
        <v>Tough</v>
      </c>
      <c r="X110" s="64" t="str">
        <f ca="1">IFERROR(__xludf.DUMMYFUNCTION("""COMPUTED_VALUE"""),"PvZ 2, PvZ 2 Chinease, PvZ Heroes")</f>
        <v>PvZ 2, PvZ 2 Chinease, PvZ Heroes</v>
      </c>
      <c r="Y110" s="65" t="str">
        <f ca="1">IFERROR(__xludf.DUMMYFUNCTION("""COMPUTED_VALUE"""),"https://static.wikia.nocookie.net/plantsvszombies/images/4/42/Explode-O-Nut2.png/revision/latest?cb=20160617175238")</f>
        <v>https://static.wikia.nocookie.net/plantsvszombies/images/4/42/Explode-O-Nut2.png/revision/latest?cb=20160617175238</v>
      </c>
    </row>
    <row r="111" spans="1:25" x14ac:dyDescent="0.2">
      <c r="A111" s="64">
        <f ca="1">IFERROR(__xludf.DUMMYFUNCTION("""COMPUTED_VALUE"""),110)</f>
        <v>110</v>
      </c>
      <c r="B111" s="64" t="str">
        <f ca="1">IFERROR(__xludf.DUMMYFUNCTION("""COMPUTED_VALUE"""),"Aloe")</f>
        <v>Aloe</v>
      </c>
      <c r="C111" s="64" t="str">
        <f ca="1">IFERROR(__xludf.DUMMYFUNCTION("""COMPUTED_VALUE"""),"Aloe")</f>
        <v>Aloe</v>
      </c>
      <c r="D111" s="64" t="str">
        <f ca="1">IFERROR(__xludf.DUMMYFUNCTION("""COMPUTED_VALUE"""),"Endurecida")</f>
        <v>Endurecida</v>
      </c>
      <c r="E111" s="64" t="str">
        <f ca="1">IFERROR(__xludf.DUMMYFUNCTION("""COMPUTED_VALUE"""),"Cura a planta a sua direita em 400, então entra em modo de recarga.")</f>
        <v>Cura a planta a sua direita em 400, então entra em modo de recarga.</v>
      </c>
      <c r="F111" s="64">
        <f ca="1">IFERROR(__xludf.DUMMYFUNCTION("""COMPUTED_VALUE"""),75)</f>
        <v>75</v>
      </c>
      <c r="G111" s="64">
        <f ca="1">IFERROR(__xludf.DUMMYFUNCTION("""COMPUTED_VALUE"""),450)</f>
        <v>450</v>
      </c>
      <c r="H111" s="64">
        <f ca="1">IFERROR(__xludf.DUMMYFUNCTION("""COMPUTED_VALUE"""),0)</f>
        <v>0</v>
      </c>
      <c r="I111" s="64">
        <f ca="1">IFERROR(__xludf.DUMMYFUNCTION("""COMPUTED_VALUE"""),20)</f>
        <v>20</v>
      </c>
      <c r="J111" s="64" t="str">
        <f ca="1">IFERROR(__xludf.DUMMYFUNCTION("""COMPUTED_VALUE"""),"Instantly heal every plant in the surrounding radius.")</f>
        <v>Instantly heal every plant in the surrounding radius.</v>
      </c>
      <c r="K111" s="64"/>
      <c r="L111" s="64"/>
      <c r="M111" s="64" t="b">
        <f ca="1">IFERROR(__xludf.DUMMYFUNCTION("""COMPUTED_VALUE"""),FALSE)</f>
        <v>0</v>
      </c>
      <c r="N111" s="64" t="b">
        <f ca="1">IFERROR(__xludf.DUMMYFUNCTION("""COMPUTED_VALUE"""),FALSE)</f>
        <v>0</v>
      </c>
      <c r="O111" s="64">
        <f ca="1">IFERROR(__xludf.DUMMYFUNCTION("""COMPUTED_VALUE"""),0)</f>
        <v>0</v>
      </c>
      <c r="P111" s="64" t="str">
        <f ca="1">IFERROR(__xludf.DUMMYFUNCTION("""COMPUTED_VALUE"""),"Common")</f>
        <v>Common</v>
      </c>
      <c r="Q111" s="64" t="str">
        <f ca="1">IFERROR(__xludf.DUMMYFUNCTION("""COMPUTED_VALUE"""),"heals")</f>
        <v>heals</v>
      </c>
      <c r="R111" s="64" t="str">
        <f ca="1">IFERROR(__xludf.DUMMYFUNCTION("""COMPUTED_VALUE"""),"Leaf")</f>
        <v>Leaf</v>
      </c>
      <c r="S111" s="64" t="str">
        <f ca="1">IFERROR(__xludf.DUMMYFUNCTION("""COMPUTED_VALUE"""),"Sementium")</f>
        <v>Sementium</v>
      </c>
      <c r="T111" s="64" t="str">
        <f ca="1">IFERROR(__xludf.DUMMYFUNCTION("""COMPUTED_VALUE"""),"None")</f>
        <v>None</v>
      </c>
      <c r="U111" s="64" t="str">
        <f ca="1">IFERROR(__xludf.DUMMYFUNCTION("""COMPUTED_VALUE"""),"None")</f>
        <v>None</v>
      </c>
      <c r="V111" s="64" t="str">
        <f ca="1">IFERROR(__xludf.DUMMYFUNCTION("""COMPUTED_VALUE"""),"aloe")</f>
        <v>aloe</v>
      </c>
      <c r="W111" s="64" t="str">
        <f ca="1">IFERROR(__xludf.DUMMYFUNCTION("""COMPUTED_VALUE"""),"Support")</f>
        <v>Support</v>
      </c>
      <c r="X111" s="64" t="str">
        <f ca="1">IFERROR(__xludf.DUMMYFUNCTION("""COMPUTED_VALUE"""),"PvZ 2, PvZ 2 Chinease")</f>
        <v>PvZ 2, PvZ 2 Chinease</v>
      </c>
      <c r="Y111" s="65" t="str">
        <f ca="1">IFERROR(__xludf.DUMMYFUNCTION("""COMPUTED_VALUE"""),"https://static.wikia.nocookie.net/plantsvszombies/images/3/30/Aloe2.png/revision/latest?cb=20190926013700")</f>
        <v>https://static.wikia.nocookie.net/plantsvszombies/images/3/30/Aloe2.png/revision/latest?cb=20190926013700</v>
      </c>
    </row>
    <row r="112" spans="1:25" x14ac:dyDescent="0.2">
      <c r="A112" s="64">
        <f ca="1">IFERROR(__xludf.DUMMYFUNCTION("""COMPUTED_VALUE"""),111)</f>
        <v>111</v>
      </c>
      <c r="B112" s="64" t="str">
        <f ca="1">IFERROR(__xludf.DUMMYFUNCTION("""COMPUTED_VALUE"""),"Bombegranate")</f>
        <v>Bombegranate</v>
      </c>
      <c r="C112" s="64" t="str">
        <f ca="1">IFERROR(__xludf.DUMMYFUNCTION("""COMPUTED_VALUE"""),"Bombaromã")</f>
        <v>Bombaromã</v>
      </c>
      <c r="D112" s="64" t="str">
        <f ca="1">IFERROR(__xludf.DUMMYFUNCTION("""COMPUTED_VALUE"""),"Bombarda")</f>
        <v>Bombarda</v>
      </c>
      <c r="E112" s="64" t="str">
        <f ca="1">IFERROR(__xludf.DUMMYFUNCTION("""COMPUTED_VALUE"""),"Explode em uma área 3x3 deixando sementes explosivas.")</f>
        <v>Explode em uma área 3x3 deixando sementes explosivas.</v>
      </c>
      <c r="F112" s="64">
        <f ca="1">IFERROR(__xludf.DUMMYFUNCTION("""COMPUTED_VALUE"""),150)</f>
        <v>150</v>
      </c>
      <c r="G112" s="64">
        <f ca="1">IFERROR(__xludf.DUMMYFUNCTION("""COMPUTED_VALUE"""),1)</f>
        <v>1</v>
      </c>
      <c r="H112" s="64">
        <f ca="1">IFERROR(__xludf.DUMMYFUNCTION("""COMPUTED_VALUE"""),1800)</f>
        <v>1800</v>
      </c>
      <c r="I112" s="64">
        <f ca="1">IFERROR(__xludf.DUMMYFUNCTION("""COMPUTED_VALUE"""),35)</f>
        <v>35</v>
      </c>
      <c r="J112" s="64" t="str">
        <f ca="1">IFERROR(__xludf.DUMMYFUNCTION("""COMPUTED_VALUE"""),"No Plant Food effect.")</f>
        <v>No Plant Food effect.</v>
      </c>
      <c r="K112" s="64"/>
      <c r="L112" s="64"/>
      <c r="M112" s="64" t="b">
        <f ca="1">IFERROR(__xludf.DUMMYFUNCTION("""COMPUTED_VALUE"""),TRUE)</f>
        <v>1</v>
      </c>
      <c r="N112" s="64" t="b">
        <f ca="1">IFERROR(__xludf.DUMMYFUNCTION("""COMPUTED_VALUE"""),TRUE)</f>
        <v>1</v>
      </c>
      <c r="O112" s="64">
        <f ca="1">IFERROR(__xludf.DUMMYFUNCTION("""COMPUTED_VALUE"""),0)</f>
        <v>0</v>
      </c>
      <c r="P112" s="64" t="str">
        <f ca="1">IFERROR(__xludf.DUMMYFUNCTION("""COMPUTED_VALUE"""),"Rare")</f>
        <v>Rare</v>
      </c>
      <c r="Q112" s="64" t="str">
        <f ca="1">IFERROR(__xludf.DUMMYFUNCTION("""COMPUTED_VALUE"""),"area-effect, explosion, control")</f>
        <v>area-effect, explosion, control</v>
      </c>
      <c r="R112" s="64" t="str">
        <f ca="1">IFERROR(__xludf.DUMMYFUNCTION("""COMPUTED_VALUE"""),"Fruit")</f>
        <v>Fruit</v>
      </c>
      <c r="S112" s="64" t="str">
        <f ca="1">IFERROR(__xludf.DUMMYFUNCTION("""COMPUTED_VALUE"""),"Sementium")</f>
        <v>Sementium</v>
      </c>
      <c r="T112" s="64" t="str">
        <f ca="1">IFERROR(__xludf.DUMMYFUNCTION("""COMPUTED_VALUE"""),"None")</f>
        <v>None</v>
      </c>
      <c r="U112" s="64" t="str">
        <f ca="1">IFERROR(__xludf.DUMMYFUNCTION("""COMPUTED_VALUE"""),"200")</f>
        <v>200</v>
      </c>
      <c r="V112" s="64" t="str">
        <f ca="1">IFERROR(__xludf.DUMMYFUNCTION("""COMPUTED_VALUE"""),"bombegranate")</f>
        <v>bombegranate</v>
      </c>
      <c r="W112" s="64" t="str">
        <f ca="1">IFERROR(__xludf.DUMMYFUNCTION("""COMPUTED_VALUE"""),"Special")</f>
        <v>Special</v>
      </c>
      <c r="X112" s="64" t="str">
        <f ca="1">IFERROR(__xludf.DUMMYFUNCTION("""COMPUTED_VALUE"""),"PvZ 2")</f>
        <v>PvZ 2</v>
      </c>
      <c r="Y112" s="65" t="str">
        <f ca="1">IFERROR(__xludf.DUMMYFUNCTION("""COMPUTED_VALUE"""),"https://static.wikia.nocookie.net/plantsvszombies/images/d/de/Bombegranate2.png/revision/latest?cb=20160827010844")</f>
        <v>https://static.wikia.nocookie.net/plantsvszombies/images/d/de/Bombegranate2.png/revision/latest?cb=20160827010844</v>
      </c>
    </row>
    <row r="113" spans="1:25" x14ac:dyDescent="0.2">
      <c r="A113" s="64">
        <f ca="1">IFERROR(__xludf.DUMMYFUNCTION("""COMPUTED_VALUE"""),112)</f>
        <v>112</v>
      </c>
      <c r="B113" s="64" t="str">
        <f ca="1">IFERROR(__xludf.DUMMYFUNCTION("""COMPUTED_VALUE"""),"Hot Date")</f>
        <v>Hot Date</v>
      </c>
      <c r="C113" s="64" t="str">
        <f ca="1">IFERROR(__xludf.DUMMYFUNCTION("""COMPUTED_VALUE"""),"Tamaramante")</f>
        <v>Tamaramante</v>
      </c>
      <c r="D113" s="64" t="str">
        <f ca="1">IFERROR(__xludf.DUMMYFUNCTION("""COMPUTED_VALUE"""),"Aquecida")</f>
        <v>Aquecida</v>
      </c>
      <c r="E113" s="64" t="str">
        <f ca="1">IFERROR(__xludf.DUMMYFUNCTION("""COMPUTED_VALUE"""),"Atrai zumbis de colunas adjacentes para esta, então quando for nocauteado, detona e encendeia todos os zumbis na fileira.")</f>
        <v>Atrai zumbis de colunas adjacentes para esta, então quando for nocauteado, detona e encendeia todos os zumbis na fileira.</v>
      </c>
      <c r="F113" s="64">
        <f ca="1">IFERROR(__xludf.DUMMYFUNCTION("""COMPUTED_VALUE"""),175)</f>
        <v>175</v>
      </c>
      <c r="G113" s="64">
        <f ca="1">IFERROR(__xludf.DUMMYFUNCTION("""COMPUTED_VALUE"""),2000)</f>
        <v>2000</v>
      </c>
      <c r="H113" s="64">
        <f ca="1">IFERROR(__xludf.DUMMYFUNCTION("""COMPUTED_VALUE"""),1000)</f>
        <v>1000</v>
      </c>
      <c r="I113" s="64">
        <f ca="1">IFERROR(__xludf.DUMMYFUNCTION("""COMPUTED_VALUE"""),25)</f>
        <v>25</v>
      </c>
      <c r="J113" s="64" t="str">
        <f ca="1">IFERROR(__xludf.DUMMYFUNCTION("""COMPUTED_VALUE"""),"Heals itself and attracts zombies in the surrounding area.")</f>
        <v>Heals itself and attracts zombies in the surrounding area.</v>
      </c>
      <c r="K113" s="64"/>
      <c r="L113" s="64" t="str">
        <f ca="1">IFERROR(__xludf.DUMMYFUNCTION("""COMPUTED_VALUE"""),"Special - Warms nearby plants")</f>
        <v>Special - Warms nearby plants</v>
      </c>
      <c r="M113" s="64" t="b">
        <f ca="1">IFERROR(__xludf.DUMMYFUNCTION("""COMPUTED_VALUE"""),FALSE)</f>
        <v>0</v>
      </c>
      <c r="N113" s="64" t="b">
        <f ca="1">IFERROR(__xludf.DUMMYFUNCTION("""COMPUTED_VALUE"""),FALSE)</f>
        <v>0</v>
      </c>
      <c r="O113" s="64">
        <f ca="1">IFERROR(__xludf.DUMMYFUNCTION("""COMPUTED_VALUE"""),0)</f>
        <v>0</v>
      </c>
      <c r="P113" s="64" t="str">
        <f ca="1">IFERROR(__xludf.DUMMYFUNCTION("""COMPUTED_VALUE"""),"Rare")</f>
        <v>Rare</v>
      </c>
      <c r="Q113" s="64" t="str">
        <f ca="1">IFERROR(__xludf.DUMMYFUNCTION("""COMPUTED_VALUE"""),"control")</f>
        <v>control</v>
      </c>
      <c r="R113" s="64" t="str">
        <f ca="1">IFERROR(__xludf.DUMMYFUNCTION("""COMPUTED_VALUE"""),"Fruit")</f>
        <v>Fruit</v>
      </c>
      <c r="S113" s="64" t="str">
        <f ca="1">IFERROR(__xludf.DUMMYFUNCTION("""COMPUTED_VALUE"""),"Sementium")</f>
        <v>Sementium</v>
      </c>
      <c r="T113" s="64" t="str">
        <f ca="1">IFERROR(__xludf.DUMMYFUNCTION("""COMPUTED_VALUE"""),"None")</f>
        <v>None</v>
      </c>
      <c r="U113" s="64" t="str">
        <f ca="1">IFERROR(__xludf.DUMMYFUNCTION("""COMPUTED_VALUE"""),"None")</f>
        <v>None</v>
      </c>
      <c r="V113" s="64" t="str">
        <f ca="1">IFERROR(__xludf.DUMMYFUNCTION("""COMPUTED_VALUE"""),"hotdate")</f>
        <v>hotdate</v>
      </c>
      <c r="W113" s="64" t="str">
        <f ca="1">IFERROR(__xludf.DUMMYFUNCTION("""COMPUTED_VALUE"""),"Tough")</f>
        <v>Tough</v>
      </c>
      <c r="X113" s="64" t="str">
        <f ca="1">IFERROR(__xludf.DUMMYFUNCTION("""COMPUTED_VALUE"""),"PvZ 2, PvZ 2 Chinease, PvZ Heroes")</f>
        <v>PvZ 2, PvZ 2 Chinease, PvZ Heroes</v>
      </c>
      <c r="Y113" s="65" t="str">
        <f ca="1">IFERROR(__xludf.DUMMYFUNCTION("""COMPUTED_VALUE"""),"https://static.wikia.nocookie.net/plantsvszombies/images/3/3d/Hot_Date2.png/revision/latest?cb=20211113162949")</f>
        <v>https://static.wikia.nocookie.net/plantsvszombies/images/3/3d/Hot_Date2.png/revision/latest?cb=20211113162949</v>
      </c>
    </row>
    <row r="114" spans="1:25" x14ac:dyDescent="0.2">
      <c r="A114" s="64">
        <f ca="1">IFERROR(__xludf.DUMMYFUNCTION("""COMPUTED_VALUE"""),113)</f>
        <v>113</v>
      </c>
      <c r="B114" s="64" t="str">
        <f ca="1">IFERROR(__xludf.DUMMYFUNCTION("""COMPUTED_VALUE"""),"Solar Tomato")</f>
        <v>Solar Tomato</v>
      </c>
      <c r="C114" s="64" t="str">
        <f ca="1">IFERROR(__xludf.DUMMYFUNCTION("""COMPUTED_VALUE"""),"Tomate Solar")</f>
        <v>Tomate Solar</v>
      </c>
      <c r="D114" s="64" t="str">
        <f ca="1">IFERROR(__xludf.DUMMYFUNCTION("""COMPUTED_VALUE"""),"Esclarecida")</f>
        <v>Esclarecida</v>
      </c>
      <c r="E114" s="64" t="str">
        <f ca="1">IFERROR(__xludf.DUMMYFUNCTION("""COMPUTED_VALUE"""),"Paraliza zumbis próximos, fazendo com que cada um deles produza sóis adicionais.")</f>
        <v>Paraliza zumbis próximos, fazendo com que cada um deles produza sóis adicionais.</v>
      </c>
      <c r="F114" s="64">
        <f ca="1">IFERROR(__xludf.DUMMYFUNCTION("""COMPUTED_VALUE"""),100)</f>
        <v>100</v>
      </c>
      <c r="G114" s="64">
        <f ca="1">IFERROR(__xludf.DUMMYFUNCTION("""COMPUTED_VALUE"""),3000)</f>
        <v>3000</v>
      </c>
      <c r="H114" s="64">
        <f ca="1">IFERROR(__xludf.DUMMYFUNCTION("""COMPUTED_VALUE"""),0)</f>
        <v>0</v>
      </c>
      <c r="I114" s="64">
        <f ca="1">IFERROR(__xludf.DUMMYFUNCTION("""COMPUTED_VALUE"""),25)</f>
        <v>25</v>
      </c>
      <c r="J114" s="64" t="str">
        <f ca="1">IFERROR(__xludf.DUMMYFUNCTION("""COMPUTED_VALUE"""),"No Plant Food effect.")</f>
        <v>No Plant Food effect.</v>
      </c>
      <c r="K114" s="64"/>
      <c r="L114" s="64"/>
      <c r="M114" s="64" t="b">
        <f ca="1">IFERROR(__xludf.DUMMYFUNCTION("""COMPUTED_VALUE"""),TRUE)</f>
        <v>1</v>
      </c>
      <c r="N114" s="64" t="b">
        <f ca="1">IFERROR(__xludf.DUMMYFUNCTION("""COMPUTED_VALUE"""),TRUE)</f>
        <v>1</v>
      </c>
      <c r="O114" s="64">
        <f ca="1">IFERROR(__xludf.DUMMYFUNCTION("""COMPUTED_VALUE"""),50)</f>
        <v>50</v>
      </c>
      <c r="P114" s="64" t="str">
        <f ca="1">IFERROR(__xludf.DUMMYFUNCTION("""COMPUTED_VALUE"""),"Uncommon")</f>
        <v>Uncommon</v>
      </c>
      <c r="Q114" s="64" t="str">
        <f ca="1">IFERROR(__xludf.DUMMYFUNCTION("""COMPUTED_VALUE"""),"area-effect, stun")</f>
        <v>area-effect, stun</v>
      </c>
      <c r="R114" s="64" t="str">
        <f ca="1">IFERROR(__xludf.DUMMYFUNCTION("""COMPUTED_VALUE"""),"Fruit")</f>
        <v>Fruit</v>
      </c>
      <c r="S114" s="64" t="str">
        <f ca="1">IFERROR(__xludf.DUMMYFUNCTION("""COMPUTED_VALUE"""),"Sementium")</f>
        <v>Sementium</v>
      </c>
      <c r="T114" s="64" t="str">
        <f ca="1">IFERROR(__xludf.DUMMYFUNCTION("""COMPUTED_VALUE"""),"None")</f>
        <v>None</v>
      </c>
      <c r="U114" s="64" t="str">
        <f ca="1">IFERROR(__xludf.DUMMYFUNCTION("""COMPUTED_VALUE"""),"None")</f>
        <v>None</v>
      </c>
      <c r="V114" s="64" t="str">
        <f ca="1">IFERROR(__xludf.DUMMYFUNCTION("""COMPUTED_VALUE"""),"solartomato")</f>
        <v>solartomato</v>
      </c>
      <c r="W114" s="64" t="str">
        <f ca="1">IFERROR(__xludf.DUMMYFUNCTION("""COMPUTED_VALUE"""),"Sun")</f>
        <v>Sun</v>
      </c>
      <c r="X114" s="64" t="str">
        <f ca="1">IFERROR(__xludf.DUMMYFUNCTION("""COMPUTED_VALUE"""),"PvZ 2")</f>
        <v>PvZ 2</v>
      </c>
      <c r="Y114" s="65" t="str">
        <f ca="1">IFERROR(__xludf.DUMMYFUNCTION("""COMPUTED_VALUE"""),"https://static.wikia.nocookie.net/plantsvszombies/images/8/80/Solar_Tomato2.png/revision/latest?cb=20170902222214")</f>
        <v>https://static.wikia.nocookie.net/plantsvszombies/images/8/80/Solar_Tomato2.png/revision/latest?cb=20170902222214</v>
      </c>
    </row>
    <row r="115" spans="1:25" x14ac:dyDescent="0.2">
      <c r="A115" s="64">
        <f ca="1">IFERROR(__xludf.DUMMYFUNCTION("""COMPUTED_VALUE"""),114)</f>
        <v>114</v>
      </c>
      <c r="B115" s="64" t="str">
        <f ca="1">IFERROR(__xludf.DUMMYFUNCTION("""COMPUTED_VALUE"""),"Shadow Peashooter")</f>
        <v>Shadow Peashooter</v>
      </c>
      <c r="C115" s="64" t="str">
        <f ca="1">IFERROR(__xludf.DUMMYFUNCTION("""COMPUTED_VALUE"""),"Disparervilha das Trevas")</f>
        <v>Disparervilha das Trevas</v>
      </c>
      <c r="D115" s="64" t="str">
        <f ca="1">IFERROR(__xludf.DUMMYFUNCTION("""COMPUTED_VALUE"""),"Sombra")</f>
        <v>Sombra</v>
      </c>
      <c r="E115" s="64" t="str">
        <f ca="1">IFERROR(__xludf.DUMMYFUNCTION("""COMPUTED_VALUE"""),"Dispara uma ervilha contra os zumbis. Caso esteja energizado, este ataque é perfurante.")</f>
        <v>Dispara uma ervilha contra os zumbis. Caso esteja energizado, este ataque é perfurante.</v>
      </c>
      <c r="F115" s="64">
        <f ca="1">IFERROR(__xludf.DUMMYFUNCTION("""COMPUTED_VALUE"""),125)</f>
        <v>125</v>
      </c>
      <c r="G115" s="64">
        <f ca="1">IFERROR(__xludf.DUMMYFUNCTION("""COMPUTED_VALUE"""),300)</f>
        <v>300</v>
      </c>
      <c r="H115" s="64">
        <f ca="1">IFERROR(__xludf.DUMMYFUNCTION("""COMPUTED_VALUE"""),70)</f>
        <v>70</v>
      </c>
      <c r="I115" s="64">
        <f ca="1">IFERROR(__xludf.DUMMYFUNCTION("""COMPUTED_VALUE"""),5)</f>
        <v>5</v>
      </c>
      <c r="J115" s="64" t="str">
        <f ca="1">IFERROR(__xludf.DUMMYFUNCTION("""COMPUTED_VALUE"""),"Summons a bomb that increases its area effect for every adjacent Moonflower plant.")</f>
        <v>Summons a bomb that increases its area effect for every adjacent Moonflower plant.</v>
      </c>
      <c r="K115" s="64"/>
      <c r="L115" s="64" t="str">
        <f ca="1">IFERROR(__xludf.DUMMYFUNCTION("""COMPUTED_VALUE"""),"Special -Fires piercing, slowing bolts when powered
Special - Hides and swallows zombies that approach")</f>
        <v>Special -Fires piercing, slowing bolts when powered
Special - Hides and swallows zombies that approach</v>
      </c>
      <c r="M115" s="64" t="b">
        <f ca="1">IFERROR(__xludf.DUMMYFUNCTION("""COMPUTED_VALUE"""),FALSE)</f>
        <v>0</v>
      </c>
      <c r="N115" s="64" t="b">
        <f ca="1">IFERROR(__xludf.DUMMYFUNCTION("""COMPUTED_VALUE"""),FALSE)</f>
        <v>0</v>
      </c>
      <c r="O115" s="64">
        <f ca="1">IFERROR(__xludf.DUMMYFUNCTION("""COMPUTED_VALUE"""),0)</f>
        <v>0</v>
      </c>
      <c r="P115" s="64" t="str">
        <f ca="1">IFERROR(__xludf.DUMMYFUNCTION("""COMPUTED_VALUE"""),"Mythical")</f>
        <v>Mythical</v>
      </c>
      <c r="Q115" s="64"/>
      <c r="R115" s="64" t="str">
        <f ca="1">IFERROR(__xludf.DUMMYFUNCTION("""COMPUTED_VALUE"""),"Pea")</f>
        <v>Pea</v>
      </c>
      <c r="S115" s="64" t="str">
        <f ca="1">IFERROR(__xludf.DUMMYFUNCTION("""COMPUTED_VALUE"""),"Sementium")</f>
        <v>Sementium</v>
      </c>
      <c r="T115" s="64" t="str">
        <f ca="1">IFERROR(__xludf.DUMMYFUNCTION("""COMPUTED_VALUE"""),"None")</f>
        <v>None</v>
      </c>
      <c r="U115" s="64" t="str">
        <f ca="1">IFERROR(__xludf.DUMMYFUNCTION("""COMPUTED_VALUE"""),"None")</f>
        <v>None</v>
      </c>
      <c r="V115" s="64" t="str">
        <f ca="1">IFERROR(__xludf.DUMMYFUNCTION("""COMPUTED_VALUE"""),"shadowpeashooter")</f>
        <v>shadowpeashooter</v>
      </c>
      <c r="W115" s="64" t="str">
        <f ca="1">IFERROR(__xludf.DUMMYFUNCTION("""COMPUTED_VALUE"""),"Ranged")</f>
        <v>Ranged</v>
      </c>
      <c r="X115" s="64" t="str">
        <f ca="1">IFERROR(__xludf.DUMMYFUNCTION("""COMPUTED_VALUE"""),"PvZ 2, PvZ 2 Chinease")</f>
        <v>PvZ 2, PvZ 2 Chinease</v>
      </c>
      <c r="Y115" s="65" t="str">
        <f ca="1">IFERROR(__xludf.DUMMYFUNCTION("""COMPUTED_VALUE"""),"https://static.wikia.nocookie.net/plantsvszombies/images/3/3b/Shadow_Peashooter2.png/revision/latest?cb=20200420033850")</f>
        <v>https://static.wikia.nocookie.net/plantsvszombies/images/3/3b/Shadow_Peashooter2.png/revision/latest?cb=20200420033850</v>
      </c>
    </row>
    <row r="116" spans="1:25" x14ac:dyDescent="0.2">
      <c r="A116" s="64">
        <f ca="1">IFERROR(__xludf.DUMMYFUNCTION("""COMPUTED_VALUE"""),115)</f>
        <v>115</v>
      </c>
      <c r="B116" s="64" t="str">
        <f ca="1">IFERROR(__xludf.DUMMYFUNCTION("""COMPUTED_VALUE"""),"Goo Peashooter")</f>
        <v>Goo Peashooter</v>
      </c>
      <c r="C116" s="64" t="str">
        <f ca="1">IFERROR(__xludf.DUMMYFUNCTION("""COMPUTED_VALUE"""),"Disparervilha Gosmenta")</f>
        <v>Disparervilha Gosmenta</v>
      </c>
      <c r="D116" s="64" t="str">
        <f ca="1">IFERROR(__xludf.DUMMYFUNCTION("""COMPUTED_VALUE"""),"Envenenada")</f>
        <v>Envenenada</v>
      </c>
      <c r="E116" s="64" t="str">
        <f ca="1">IFERROR(__xludf.DUMMYFUNCTION("""COMPUTED_VALUE"""),"Dispara uma ervilha envenenada nos zumbis, deixando-os mais lentos.")</f>
        <v>Dispara uma ervilha envenenada nos zumbis, deixando-os mais lentos.</v>
      </c>
      <c r="F116" s="64">
        <f ca="1">IFERROR(__xludf.DUMMYFUNCTION("""COMPUTED_VALUE"""),125)</f>
        <v>125</v>
      </c>
      <c r="G116" s="64">
        <f ca="1">IFERROR(__xludf.DUMMYFUNCTION("""COMPUTED_VALUE"""),300)</f>
        <v>300</v>
      </c>
      <c r="H116" s="64">
        <f ca="1">IFERROR(__xludf.DUMMYFUNCTION("""COMPUTED_VALUE"""),30)</f>
        <v>30</v>
      </c>
      <c r="I116" s="64">
        <f ca="1">IFERROR(__xludf.DUMMYFUNCTION("""COMPUTED_VALUE"""),5)</f>
        <v>5</v>
      </c>
      <c r="J116" s="64" t="str">
        <f ca="1">IFERROR(__xludf.DUMMYFUNCTION("""COMPUTED_VALUE"""),"Summons a large ball of poison that deals damage, knock back, and poison all zombies on the lawn.")</f>
        <v>Summons a large ball of poison that deals damage, knock back, and poison all zombies on the lawn.</v>
      </c>
      <c r="K116" s="64"/>
      <c r="L116" s="64"/>
      <c r="M116" s="64" t="b">
        <f ca="1">IFERROR(__xludf.DUMMYFUNCTION("""COMPUTED_VALUE"""),FALSE)</f>
        <v>0</v>
      </c>
      <c r="N116" s="64" t="b">
        <f ca="1">IFERROR(__xludf.DUMMYFUNCTION("""COMPUTED_VALUE"""),FALSE)</f>
        <v>0</v>
      </c>
      <c r="O116" s="64">
        <f ca="1">IFERROR(__xludf.DUMMYFUNCTION("""COMPUTED_VALUE"""),0)</f>
        <v>0</v>
      </c>
      <c r="P116" s="64" t="str">
        <f ca="1">IFERROR(__xludf.DUMMYFUNCTION("""COMPUTED_VALUE"""),"Rare")</f>
        <v>Rare</v>
      </c>
      <c r="Q116" s="64" t="str">
        <f ca="1">IFERROR(__xludf.DUMMYFUNCTION("""COMPUTED_VALUE"""),"poison")</f>
        <v>poison</v>
      </c>
      <c r="R116" s="64" t="str">
        <f ca="1">IFERROR(__xludf.DUMMYFUNCTION("""COMPUTED_VALUE"""),"Pea")</f>
        <v>Pea</v>
      </c>
      <c r="S116" s="64" t="str">
        <f ca="1">IFERROR(__xludf.DUMMYFUNCTION("""COMPUTED_VALUE"""),"Sementium")</f>
        <v>Sementium</v>
      </c>
      <c r="T116" s="64" t="str">
        <f ca="1">IFERROR(__xludf.DUMMYFUNCTION("""COMPUTED_VALUE"""),"None")</f>
        <v>None</v>
      </c>
      <c r="U116" s="64" t="str">
        <f ca="1">IFERROR(__xludf.DUMMYFUNCTION("""COMPUTED_VALUE"""),"None")</f>
        <v>None</v>
      </c>
      <c r="V116" s="64" t="str">
        <f ca="1">IFERROR(__xludf.DUMMYFUNCTION("""COMPUTED_VALUE"""),"poisonpeashooter")</f>
        <v>poisonpeashooter</v>
      </c>
      <c r="W116" s="64" t="str">
        <f ca="1">IFERROR(__xludf.DUMMYFUNCTION("""COMPUTED_VALUE"""),"Ranged")</f>
        <v>Ranged</v>
      </c>
      <c r="X116" s="64" t="str">
        <f ca="1">IFERROR(__xludf.DUMMYFUNCTION("""COMPUTED_VALUE"""),"PvZ 2, PvZ 2 Chinease")</f>
        <v>PvZ 2, PvZ 2 Chinease</v>
      </c>
      <c r="Y116" s="65" t="str">
        <f ca="1">IFERROR(__xludf.DUMMYFUNCTION("""COMPUTED_VALUE"""),"https://static.wikia.nocookie.net/plantsvszombies/images/3/3f/Goo_Peashooter2.png/revision/latest?cb=20200803162920")</f>
        <v>https://static.wikia.nocookie.net/plantsvszombies/images/3/3f/Goo_Peashooter2.png/revision/latest?cb=20200803162920</v>
      </c>
    </row>
    <row r="117" spans="1:25" x14ac:dyDescent="0.2">
      <c r="A117" s="64">
        <f ca="1">IFERROR(__xludf.DUMMYFUNCTION("""COMPUTED_VALUE"""),116)</f>
        <v>116</v>
      </c>
      <c r="B117" s="64" t="str">
        <f ca="1">IFERROR(__xludf.DUMMYFUNCTION("""COMPUTED_VALUE"""),"Sling Peashooter")</f>
        <v>Sling Peashooter</v>
      </c>
      <c r="C117" s="64" t="str">
        <f ca="1">IFERROR(__xludf.DUMMYFUNCTION("""COMPUTED_VALUE"""),"Estelinguervilha")</f>
        <v>Estelinguervilha</v>
      </c>
      <c r="D117" s="64" t="str">
        <f ca="1">IFERROR(__xludf.DUMMYFUNCTION("""COMPUTED_VALUE"""),"Arma")</f>
        <v>Arma</v>
      </c>
      <c r="E117" s="64" t="str">
        <f ca="1">IFERROR(__xludf.DUMMYFUNCTION("""COMPUTED_VALUE"""),"Dispara simultaneamente 5 ervilhas em parábola que acertam os zumbis mais próximos da casa.")</f>
        <v>Dispara simultaneamente 5 ervilhas em parábola que acertam os zumbis mais próximos da casa.</v>
      </c>
      <c r="F117" s="64">
        <f ca="1">IFERROR(__xludf.DUMMYFUNCTION("""COMPUTED_VALUE"""),125)</f>
        <v>125</v>
      </c>
      <c r="G117" s="64">
        <f ca="1">IFERROR(__xludf.DUMMYFUNCTION("""COMPUTED_VALUE"""),300)</f>
        <v>300</v>
      </c>
      <c r="H117" s="64">
        <f ca="1">IFERROR(__xludf.DUMMYFUNCTION("""COMPUTED_VALUE"""),20)</f>
        <v>20</v>
      </c>
      <c r="I117" s="64">
        <f ca="1">IFERROR(__xludf.DUMMYFUNCTION("""COMPUTED_VALUE"""),5)</f>
        <v>5</v>
      </c>
      <c r="J117" s="64" t="str">
        <f ca="1">IFERROR(__xludf.DUMMYFUNCTION("""COMPUTED_VALUE"""),"Shoots 3 bursts of stunning peas at zombies.")</f>
        <v>Shoots 3 bursts of stunning peas at zombies.</v>
      </c>
      <c r="K117" s="64"/>
      <c r="L117" s="64"/>
      <c r="M117" s="64" t="b">
        <f ca="1">IFERROR(__xludf.DUMMYFUNCTION("""COMPUTED_VALUE"""),FALSE)</f>
        <v>0</v>
      </c>
      <c r="N117" s="64" t="b">
        <f ca="1">IFERROR(__xludf.DUMMYFUNCTION("""COMPUTED_VALUE"""),FALSE)</f>
        <v>0</v>
      </c>
      <c r="O117" s="64">
        <f ca="1">IFERROR(__xludf.DUMMYFUNCTION("""COMPUTED_VALUE"""),0)</f>
        <v>0</v>
      </c>
      <c r="P117" s="64" t="str">
        <f ca="1">IFERROR(__xludf.DUMMYFUNCTION("""COMPUTED_VALUE"""),"Uncommon")</f>
        <v>Uncommon</v>
      </c>
      <c r="Q117" s="64" t="str">
        <f ca="1">IFERROR(__xludf.DUMMYFUNCTION("""COMPUTED_VALUE"""),"area-effect")</f>
        <v>area-effect</v>
      </c>
      <c r="R117" s="64" t="str">
        <f ca="1">IFERROR(__xludf.DUMMYFUNCTION("""COMPUTED_VALUE"""),"Pea")</f>
        <v>Pea</v>
      </c>
      <c r="S117" s="64" t="str">
        <f ca="1">IFERROR(__xludf.DUMMYFUNCTION("""COMPUTED_VALUE"""),"Sementium")</f>
        <v>Sementium</v>
      </c>
      <c r="T117" s="64" t="str">
        <f ca="1">IFERROR(__xludf.DUMMYFUNCTION("""COMPUTED_VALUE"""),"None")</f>
        <v>None</v>
      </c>
      <c r="U117" s="64" t="str">
        <f ca="1">IFERROR(__xludf.DUMMYFUNCTION("""COMPUTED_VALUE"""),"None")</f>
        <v>None</v>
      </c>
      <c r="V117" s="64" t="str">
        <f ca="1">IFERROR(__xludf.DUMMYFUNCTION("""COMPUTED_VALUE"""),"slingpea")</f>
        <v>slingpea</v>
      </c>
      <c r="W117" s="64" t="str">
        <f ca="1">IFERROR(__xludf.DUMMYFUNCTION("""COMPUTED_VALUE"""),"Ranged")</f>
        <v>Ranged</v>
      </c>
      <c r="X117" s="64" t="str">
        <f ca="1">IFERROR(__xludf.DUMMYFUNCTION("""COMPUTED_VALUE"""),"PvZ 2, PvZ 2 Chinease")</f>
        <v>PvZ 2, PvZ 2 Chinease</v>
      </c>
      <c r="Y117" s="65" t="str">
        <f ca="1">IFERROR(__xludf.DUMMYFUNCTION("""COMPUTED_VALUE"""),"https://static.wikia.nocookie.net/plantsvszombies/images/c/c1/Sling_Pea2.png/revision/latest?cb=20181106223507")</f>
        <v>https://static.wikia.nocookie.net/plantsvszombies/images/c/c1/Sling_Pea2.png/revision/latest?cb=20181106223507</v>
      </c>
    </row>
    <row r="118" spans="1:25" x14ac:dyDescent="0.2">
      <c r="A118" s="64">
        <f ca="1">IFERROR(__xludf.DUMMYFUNCTION("""COMPUTED_VALUE"""),117)</f>
        <v>117</v>
      </c>
      <c r="B118" s="64" t="str">
        <f ca="1">IFERROR(__xludf.DUMMYFUNCTION("""COMPUTED_VALUE"""),"Snap Pea")</f>
        <v>Snap Pea</v>
      </c>
      <c r="C118" s="64" t="str">
        <f ca="1">IFERROR(__xludf.DUMMYFUNCTION("""COMPUTED_VALUE"""),"Guilhotinervilhaervilha")</f>
        <v>Guilhotinervilhaervilha</v>
      </c>
      <c r="D118" s="64" t="str">
        <f ca="1">IFERROR(__xludf.DUMMYFUNCTION("""COMPUTED_VALUE"""),"Surra")</f>
        <v>Surra</v>
      </c>
      <c r="E118" s="64" t="str">
        <f ca="1">IFERROR(__xludf.DUMMYFUNCTION("""COMPUTED_VALUE"""),"Mergulha no solo e engole um zumbi, entrando em modo de recarga, depois disso dispara restos do zumbi,")</f>
        <v>Mergulha no solo e engole um zumbi, entrando em modo de recarga, depois disso dispara restos do zumbi,</v>
      </c>
      <c r="F118" s="64">
        <f ca="1">IFERROR(__xludf.DUMMYFUNCTION("""COMPUTED_VALUE"""),200)</f>
        <v>200</v>
      </c>
      <c r="G118" s="64">
        <f ca="1">IFERROR(__xludf.DUMMYFUNCTION("""COMPUTED_VALUE"""),300)</f>
        <v>300</v>
      </c>
      <c r="H118" s="64">
        <f ca="1">IFERROR(__xludf.DUMMYFUNCTION("""COMPUTED_VALUE"""),400)</f>
        <v>400</v>
      </c>
      <c r="I118" s="64">
        <f ca="1">IFERROR(__xludf.DUMMYFUNCTION("""COMPUTED_VALUE"""),5)</f>
        <v>5</v>
      </c>
      <c r="J118" s="64" t="str">
        <f ca="1">IFERROR(__xludf.DUMMYFUNCTION("""COMPUTED_VALUE"""),"Eat several zombies and then shoot out their heads.")</f>
        <v>Eat several zombies and then shoot out their heads.</v>
      </c>
      <c r="K118" s="64"/>
      <c r="L118" s="64"/>
      <c r="M118" s="64" t="b">
        <f ca="1">IFERROR(__xludf.DUMMYFUNCTION("""COMPUTED_VALUE"""),FALSE)</f>
        <v>0</v>
      </c>
      <c r="N118" s="64" t="b">
        <f ca="1">IFERROR(__xludf.DUMMYFUNCTION("""COMPUTED_VALUE"""),FALSE)</f>
        <v>0</v>
      </c>
      <c r="O118" s="64">
        <f ca="1">IFERROR(__xludf.DUMMYFUNCTION("""COMPUTED_VALUE"""),0)</f>
        <v>0</v>
      </c>
      <c r="P118" s="64" t="str">
        <f ca="1">IFERROR(__xludf.DUMMYFUNCTION("""COMPUTED_VALUE"""),"Uncommon")</f>
        <v>Uncommon</v>
      </c>
      <c r="Q118" s="64" t="str">
        <f ca="1">IFERROR(__xludf.DUMMYFUNCTION("""COMPUTED_VALUE"""),"chomper")</f>
        <v>chomper</v>
      </c>
      <c r="R118" s="64" t="str">
        <f ca="1">IFERROR(__xludf.DUMMYFUNCTION("""COMPUTED_VALUE"""),"Pea")</f>
        <v>Pea</v>
      </c>
      <c r="S118" s="64" t="str">
        <f ca="1">IFERROR(__xludf.DUMMYFUNCTION("""COMPUTED_VALUE"""),"Sementium")</f>
        <v>Sementium</v>
      </c>
      <c r="T118" s="64" t="str">
        <f ca="1">IFERROR(__xludf.DUMMYFUNCTION("""COMPUTED_VALUE"""),"None")</f>
        <v>None</v>
      </c>
      <c r="U118" s="64" t="str">
        <f ca="1">IFERROR(__xludf.DUMMYFUNCTION("""COMPUTED_VALUE"""),"30")</f>
        <v>30</v>
      </c>
      <c r="V118" s="64" t="str">
        <f ca="1">IFERROR(__xludf.DUMMYFUNCTION("""COMPUTED_VALUE"""),"snappea")</f>
        <v>snappea</v>
      </c>
      <c r="W118" s="64" t="str">
        <f ca="1">IFERROR(__xludf.DUMMYFUNCTION("""COMPUTED_VALUE"""),"Ranged")</f>
        <v>Ranged</v>
      </c>
      <c r="X118" s="64" t="str">
        <f ca="1">IFERROR(__xludf.DUMMYFUNCTION("""COMPUTED_VALUE"""),"PvZ 2, PvZ 2 Chinease")</f>
        <v>PvZ 2, PvZ 2 Chinease</v>
      </c>
      <c r="Y118" s="65" t="str">
        <f ca="1">IFERROR(__xludf.DUMMYFUNCTION("""COMPUTED_VALUE"""),"https://static.wikia.nocookie.net/plantsvszombies/images/8/80/Snap_Pea2.png/revision/latest?cb=20190723032540")</f>
        <v>https://static.wikia.nocookie.net/plantsvszombies/images/8/80/Snap_Pea2.png/revision/latest?cb=20190723032540</v>
      </c>
    </row>
    <row r="119" spans="1:25" x14ac:dyDescent="0.2">
      <c r="A119" s="64">
        <f ca="1">IFERROR(__xludf.DUMMYFUNCTION("""COMPUTED_VALUE"""),118)</f>
        <v>118</v>
      </c>
      <c r="B119" s="64" t="str">
        <f ca="1">IFERROR(__xludf.DUMMYFUNCTION("""COMPUTED_VALUE"""),"Zoybean Pod")</f>
        <v>Zoybean Pod</v>
      </c>
      <c r="C119" s="64" t="str">
        <f ca="1">IFERROR(__xludf.DUMMYFUNCTION("""COMPUTED_VALUE"""),"Zumbi-soja")</f>
        <v>Zumbi-soja</v>
      </c>
      <c r="D119" s="64" t="str">
        <f ca="1">IFERROR(__xludf.DUMMYFUNCTION("""COMPUTED_VALUE"""),"Encanta")</f>
        <v>Encanta</v>
      </c>
      <c r="E119" s="64" t="str">
        <f ca="1">IFERROR(__xludf.DUMMYFUNCTION("""COMPUTED_VALUE"""),"Cresce e fecunda um zumbi-soja que avança atacando zumbis.")</f>
        <v>Cresce e fecunda um zumbi-soja que avança atacando zumbis.</v>
      </c>
      <c r="F119" s="64">
        <f ca="1">IFERROR(__xludf.DUMMYFUNCTION("""COMPUTED_VALUE"""),200)</f>
        <v>200</v>
      </c>
      <c r="G119" s="64">
        <f ca="1">IFERROR(__xludf.DUMMYFUNCTION("""COMPUTED_VALUE"""),300)</f>
        <v>300</v>
      </c>
      <c r="H119" s="64">
        <f ca="1">IFERROR(__xludf.DUMMYFUNCTION("""COMPUTED_VALUE"""),0)</f>
        <v>0</v>
      </c>
      <c r="I119" s="64">
        <f ca="1">IFERROR(__xludf.DUMMYFUNCTION("""COMPUTED_VALUE"""),20)</f>
        <v>20</v>
      </c>
      <c r="J119" s="64" t="str">
        <f ca="1">IFERROR(__xludf.DUMMYFUNCTION("""COMPUTED_VALUE"""),"Immediately spawn a Gargantuar Zomboid.")</f>
        <v>Immediately spawn a Gargantuar Zomboid.</v>
      </c>
      <c r="K119" s="64"/>
      <c r="L119" s="64"/>
      <c r="M119" s="64" t="b">
        <f ca="1">IFERROR(__xludf.DUMMYFUNCTION("""COMPUTED_VALUE"""),FALSE)</f>
        <v>0</v>
      </c>
      <c r="N119" s="64" t="b">
        <f ca="1">IFERROR(__xludf.DUMMYFUNCTION("""COMPUTED_VALUE"""),FALSE)</f>
        <v>0</v>
      </c>
      <c r="O119" s="64">
        <f ca="1">IFERROR(__xludf.DUMMYFUNCTION("""COMPUTED_VALUE"""),0)</f>
        <v>0</v>
      </c>
      <c r="P119" s="64" t="str">
        <f ca="1">IFERROR(__xludf.DUMMYFUNCTION("""COMPUTED_VALUE"""),"Epic")</f>
        <v>Epic</v>
      </c>
      <c r="Q119" s="64" t="str">
        <f ca="1">IFERROR(__xludf.DUMMYFUNCTION("""COMPUTED_VALUE"""),"zumboid")</f>
        <v>zumboid</v>
      </c>
      <c r="R119" s="64" t="str">
        <f ca="1">IFERROR(__xludf.DUMMYFUNCTION("""COMPUTED_VALUE"""),"Vegetable")</f>
        <v>Vegetable</v>
      </c>
      <c r="S119" s="64" t="str">
        <f ca="1">IFERROR(__xludf.DUMMYFUNCTION("""COMPUTED_VALUE"""),"Sementium")</f>
        <v>Sementium</v>
      </c>
      <c r="T119" s="64" t="str">
        <f ca="1">IFERROR(__xludf.DUMMYFUNCTION("""COMPUTED_VALUE"""),"None")</f>
        <v>None</v>
      </c>
      <c r="U119" s="64" t="str">
        <f ca="1">IFERROR(__xludf.DUMMYFUNCTION("""COMPUTED_VALUE"""),"None")</f>
        <v>None</v>
      </c>
      <c r="V119" s="64" t="str">
        <f ca="1">IFERROR(__xludf.DUMMYFUNCTION("""COMPUTED_VALUE"""),"zoybeanpod")</f>
        <v>zoybeanpod</v>
      </c>
      <c r="W119" s="64" t="str">
        <f ca="1">IFERROR(__xludf.DUMMYFUNCTION("""COMPUTED_VALUE"""),"Special")</f>
        <v>Special</v>
      </c>
      <c r="X119" s="64" t="str">
        <f ca="1">IFERROR(__xludf.DUMMYFUNCTION("""COMPUTED_VALUE"""),"PvZ 2, PvZ 2 Chinease")</f>
        <v>PvZ 2, PvZ 2 Chinease</v>
      </c>
      <c r="Y119" s="65" t="str">
        <f ca="1">IFERROR(__xludf.DUMMYFUNCTION("""COMPUTED_VALUE"""),"https://static.wikia.nocookie.net/plantsvszombies/images/b/b7/Zoybean_Pod2.png/revision/latest?cb=20190308033556")</f>
        <v>https://static.wikia.nocookie.net/plantsvszombies/images/b/b7/Zoybean_Pod2.png/revision/latest?cb=20190308033556</v>
      </c>
    </row>
    <row r="120" spans="1:25" x14ac:dyDescent="0.2">
      <c r="A120" s="64">
        <f ca="1">IFERROR(__xludf.DUMMYFUNCTION("""COMPUTED_VALUE"""),119)</f>
        <v>119</v>
      </c>
      <c r="B120" s="64" t="str">
        <f ca="1">IFERROR(__xludf.DUMMYFUNCTION("""COMPUTED_VALUE"""),"Dazey Chain")</f>
        <v>Dazey Chain</v>
      </c>
      <c r="C120" s="64" t="str">
        <f ca="1">IFERROR(__xludf.DUMMYFUNCTION("""COMPUTED_VALUE"""),"Margatordoantes")</f>
        <v>Margatordoantes</v>
      </c>
      <c r="D120" s="64" t="str">
        <f ca="1">IFERROR(__xludf.DUMMYFUNCTION("""COMPUTED_VALUE"""),"Refrea")</f>
        <v>Refrea</v>
      </c>
      <c r="E120" s="64" t="str">
        <f ca="1">IFERROR(__xludf.DUMMYFUNCTION("""COMPUTED_VALUE"""),"Cresce ficando mais poderosa e lançando uma nuvem paralizante quando isso ocorre.")</f>
        <v>Cresce ficando mais poderosa e lançando uma nuvem paralizante quando isso ocorre.</v>
      </c>
      <c r="F120" s="64">
        <f ca="1">IFERROR(__xludf.DUMMYFUNCTION("""COMPUTED_VALUE"""),150)</f>
        <v>150</v>
      </c>
      <c r="G120" s="64">
        <f ca="1">IFERROR(__xludf.DUMMYFUNCTION("""COMPUTED_VALUE"""),300)</f>
        <v>300</v>
      </c>
      <c r="H120" s="64">
        <f ca="1">IFERROR(__xludf.DUMMYFUNCTION("""COMPUTED_VALUE"""),20)</f>
        <v>20</v>
      </c>
      <c r="I120" s="64">
        <f ca="1">IFERROR(__xludf.DUMMYFUNCTION("""COMPUTED_VALUE"""),5)</f>
        <v>5</v>
      </c>
      <c r="J120" s="64" t="str">
        <f ca="1">IFERROR(__xludf.DUMMYFUNCTION("""COMPUTED_VALUE"""),"Releases a large plume of stunning gas toward zombies in its column and adjacent columns.")</f>
        <v>Releases a large plume of stunning gas toward zombies in its column and adjacent columns.</v>
      </c>
      <c r="K120" s="64"/>
      <c r="L120" s="64"/>
      <c r="M120" s="64" t="b">
        <f ca="1">IFERROR(__xludf.DUMMYFUNCTION("""COMPUTED_VALUE"""),FALSE)</f>
        <v>0</v>
      </c>
      <c r="N120" s="64" t="b">
        <f ca="1">IFERROR(__xludf.DUMMYFUNCTION("""COMPUTED_VALUE"""),FALSE)</f>
        <v>0</v>
      </c>
      <c r="O120" s="64">
        <f ca="1">IFERROR(__xludf.DUMMYFUNCTION("""COMPUTED_VALUE"""),0)</f>
        <v>0</v>
      </c>
      <c r="P120" s="64" t="str">
        <f ca="1">IFERROR(__xludf.DUMMYFUNCTION("""COMPUTED_VALUE"""),"Uncommon")</f>
        <v>Uncommon</v>
      </c>
      <c r="Q120" s="64" t="str">
        <f ca="1">IFERROR(__xludf.DUMMYFUNCTION("""COMPUTED_VALUE"""),"stun")</f>
        <v>stun</v>
      </c>
      <c r="R120" s="64" t="str">
        <f ca="1">IFERROR(__xludf.DUMMYFUNCTION("""COMPUTED_VALUE"""),"Flower")</f>
        <v>Flower</v>
      </c>
      <c r="S120" s="64" t="str">
        <f ca="1">IFERROR(__xludf.DUMMYFUNCTION("""COMPUTED_VALUE"""),"Sementium")</f>
        <v>Sementium</v>
      </c>
      <c r="T120" s="64" t="str">
        <f ca="1">IFERROR(__xludf.DUMMYFUNCTION("""COMPUTED_VALUE"""),"None")</f>
        <v>None</v>
      </c>
      <c r="U120" s="64" t="str">
        <f ca="1">IFERROR(__xludf.DUMMYFUNCTION("""COMPUTED_VALUE"""),"None")</f>
        <v>None</v>
      </c>
      <c r="V120" s="64" t="str">
        <f ca="1">IFERROR(__xludf.DUMMYFUNCTION("""COMPUTED_VALUE"""),"dazeychain")</f>
        <v>dazeychain</v>
      </c>
      <c r="W120" s="64" t="str">
        <f ca="1">IFERROR(__xludf.DUMMYFUNCTION("""COMPUTED_VALUE"""),"Ranged")</f>
        <v>Ranged</v>
      </c>
      <c r="X120" s="64" t="str">
        <f ca="1">IFERROR(__xludf.DUMMYFUNCTION("""COMPUTED_VALUE"""),"PvZ 2, PvZ 2 Chinease")</f>
        <v>PvZ 2, PvZ 2 Chinease</v>
      </c>
      <c r="Y120" s="65" t="str">
        <f ca="1">IFERROR(__xludf.DUMMYFUNCTION("""COMPUTED_VALUE"""),"https://static.wikia.nocookie.net/plantsvszombies/images/7/72/Dazey_Chain2.png/revision/latest?cb=20190308033609")</f>
        <v>https://static.wikia.nocookie.net/plantsvszombies/images/7/72/Dazey_Chain2.png/revision/latest?cb=20190308033609</v>
      </c>
    </row>
    <row r="121" spans="1:25" x14ac:dyDescent="0.2">
      <c r="A121" s="64">
        <f ca="1">IFERROR(__xludf.DUMMYFUNCTION("""COMPUTED_VALUE"""),120)</f>
        <v>120</v>
      </c>
      <c r="B121" s="64" t="str">
        <f ca="1">IFERROR(__xludf.DUMMYFUNCTION("""COMPUTED_VALUE"""),"Eletrici-tea")</f>
        <v>Eletrici-tea</v>
      </c>
      <c r="C121" s="64" t="str">
        <f ca="1">IFERROR(__xludf.DUMMYFUNCTION("""COMPUTED_VALUE"""),"Eletrici-mélia")</f>
        <v>Eletrici-mélia</v>
      </c>
      <c r="D121" s="64" t="str">
        <f ca="1">IFERROR(__xludf.DUMMYFUNCTION("""COMPUTED_VALUE"""),"Fila")</f>
        <v>Fila</v>
      </c>
      <c r="E121" s="64" t="str">
        <f ca="1">IFERROR(__xludf.DUMMYFUNCTION("""COMPUTED_VALUE"""),"Emite ondas de choque em zumbis próximos, explodindo-os em uma onda eletrica.")</f>
        <v>Emite ondas de choque em zumbis próximos, explodindo-os em uma onda eletrica.</v>
      </c>
      <c r="F121" s="64">
        <f ca="1">IFERROR(__xludf.DUMMYFUNCTION("""COMPUTED_VALUE"""),125)</f>
        <v>125</v>
      </c>
      <c r="G121" s="64">
        <f ca="1">IFERROR(__xludf.DUMMYFUNCTION("""COMPUTED_VALUE"""),150)</f>
        <v>150</v>
      </c>
      <c r="H121" s="64">
        <f ca="1">IFERROR(__xludf.DUMMYFUNCTION("""COMPUTED_VALUE"""),950)</f>
        <v>950</v>
      </c>
      <c r="I121" s="64">
        <f ca="1">IFERROR(__xludf.DUMMYFUNCTION("""COMPUTED_VALUE"""),15)</f>
        <v>15</v>
      </c>
      <c r="J121" s="64" t="str">
        <f ca="1">IFERROR(__xludf.DUMMYFUNCTION("""COMPUTED_VALUE"""),"Shoots lightning bolts at random zombies on the lawn for 3 seconds, dealing large amount of damage.")</f>
        <v>Shoots lightning bolts at random zombies on the lawn for 3 seconds, dealing large amount of damage.</v>
      </c>
      <c r="K121" s="64"/>
      <c r="L121" s="64"/>
      <c r="M121" s="64" t="b">
        <f ca="1">IFERROR(__xludf.DUMMYFUNCTION("""COMPUTED_VALUE"""),FALSE)</f>
        <v>0</v>
      </c>
      <c r="N121" s="64" t="b">
        <f ca="1">IFERROR(__xludf.DUMMYFUNCTION("""COMPUTED_VALUE"""),FALSE)</f>
        <v>0</v>
      </c>
      <c r="O121" s="64">
        <f ca="1">IFERROR(__xludf.DUMMYFUNCTION("""COMPUTED_VALUE"""),0)</f>
        <v>0</v>
      </c>
      <c r="P121" s="64" t="str">
        <f ca="1">IFERROR(__xludf.DUMMYFUNCTION("""COMPUTED_VALUE"""),"Uncommon")</f>
        <v>Uncommon</v>
      </c>
      <c r="Q121" s="64" t="str">
        <f ca="1">IFERROR(__xludf.DUMMYFUNCTION("""COMPUTED_VALUE"""),"area-effect, chain_attack")</f>
        <v>area-effect, chain_attack</v>
      </c>
      <c r="R121" s="64" t="str">
        <f ca="1">IFERROR(__xludf.DUMMYFUNCTION("""COMPUTED_VALUE"""),"Leaf")</f>
        <v>Leaf</v>
      </c>
      <c r="S121" s="64" t="str">
        <f ca="1">IFERROR(__xludf.DUMMYFUNCTION("""COMPUTED_VALUE"""),"Sementium")</f>
        <v>Sementium</v>
      </c>
      <c r="T121" s="64" t="str">
        <f ca="1">IFERROR(__xludf.DUMMYFUNCTION("""COMPUTED_VALUE"""),"None")</f>
        <v>None</v>
      </c>
      <c r="U121" s="64" t="str">
        <f ca="1">IFERROR(__xludf.DUMMYFUNCTION("""COMPUTED_VALUE"""),"None")</f>
        <v>None</v>
      </c>
      <c r="V121" s="64" t="str">
        <f ca="1">IFERROR(__xludf.DUMMYFUNCTION("""COMPUTED_VALUE"""),"electricitea")</f>
        <v>electricitea</v>
      </c>
      <c r="W121" s="64" t="str">
        <f ca="1">IFERROR(__xludf.DUMMYFUNCTION("""COMPUTED_VALUE"""),"Vanguard")</f>
        <v>Vanguard</v>
      </c>
      <c r="X121" s="64" t="str">
        <f ca="1">IFERROR(__xludf.DUMMYFUNCTION("""COMPUTED_VALUE"""),"PvZ 2, PvZ 2 Chinease")</f>
        <v>PvZ 2, PvZ 2 Chinease</v>
      </c>
      <c r="Y121" s="65" t="str">
        <f ca="1">IFERROR(__xludf.DUMMYFUNCTION("""COMPUTED_VALUE"""),"https://static.wikia.nocookie.net/plantsvszombies/images/6/69/Electrici-tea2.png/revision/latest?cb=20200601162225")</f>
        <v>https://static.wikia.nocookie.net/plantsvszombies/images/6/69/Electrici-tea2.png/revision/latest?cb=20200601162225</v>
      </c>
    </row>
    <row r="122" spans="1:25" x14ac:dyDescent="0.2">
      <c r="A122" s="64">
        <f ca="1">IFERROR(__xludf.DUMMYFUNCTION("""COMPUTED_VALUE"""),121)</f>
        <v>121</v>
      </c>
      <c r="B122" s="64" t="str">
        <f ca="1">IFERROR(__xludf.DUMMYFUNCTION("""COMPUTED_VALUE"""),"Blastberry Vine")</f>
        <v>Blastberry Vine</v>
      </c>
      <c r="C122" s="64" t="str">
        <f ca="1">IFERROR(__xludf.DUMMYFUNCTION("""COMPUTED_VALUE"""),"Trepadeira Explosiva")</f>
        <v>Trepadeira Explosiva</v>
      </c>
      <c r="D122" s="64" t="str">
        <f ca="1">IFERROR(__xludf.DUMMYFUNCTION("""COMPUTED_VALUE"""),"Arma")</f>
        <v>Arma</v>
      </c>
      <c r="E122" s="64" t="str">
        <f ca="1">IFERROR(__xludf.DUMMYFUNCTION("""COMPUTED_VALUE"""),"Pode ser plantada com outra planta para fornece-la mais defesa. Além disso, dispara ataques explosivos em parábola.")</f>
        <v>Pode ser plantada com outra planta para fornece-la mais defesa. Além disso, dispara ataques explosivos em parábola.</v>
      </c>
      <c r="F122" s="64">
        <f ca="1">IFERROR(__xludf.DUMMYFUNCTION("""COMPUTED_VALUE"""),175)</f>
        <v>175</v>
      </c>
      <c r="G122" s="64">
        <f ca="1">IFERROR(__xludf.DUMMYFUNCTION("""COMPUTED_VALUE"""),200)</f>
        <v>200</v>
      </c>
      <c r="H122" s="64">
        <f ca="1">IFERROR(__xludf.DUMMYFUNCTION("""COMPUTED_VALUE"""),15)</f>
        <v>15</v>
      </c>
      <c r="I122" s="64">
        <f ca="1">IFERROR(__xludf.DUMMYFUNCTION("""COMPUTED_VALUE"""),10)</f>
        <v>10</v>
      </c>
      <c r="J122" s="64" t="str">
        <f ca="1">IFERROR(__xludf.DUMMYFUNCTION("""COMPUTED_VALUE"""),"Launches a barrage of explosive berries at zombies in its column.")</f>
        <v>Launches a barrage of explosive berries at zombies in its column.</v>
      </c>
      <c r="K122" s="64"/>
      <c r="L122" s="64"/>
      <c r="M122" s="64" t="b">
        <f ca="1">IFERROR(__xludf.DUMMYFUNCTION("""COMPUTED_VALUE"""),FALSE)</f>
        <v>0</v>
      </c>
      <c r="N122" s="64" t="b">
        <f ca="1">IFERROR(__xludf.DUMMYFUNCTION("""COMPUTED_VALUE"""),FALSE)</f>
        <v>0</v>
      </c>
      <c r="O122" s="64">
        <f ca="1">IFERROR(__xludf.DUMMYFUNCTION("""COMPUTED_VALUE"""),0)</f>
        <v>0</v>
      </c>
      <c r="P122" s="64" t="str">
        <f ca="1">IFERROR(__xludf.DUMMYFUNCTION("""COMPUTED_VALUE"""),"Uncommon")</f>
        <v>Uncommon</v>
      </c>
      <c r="Q122" s="64" t="str">
        <f ca="1">IFERROR(__xludf.DUMMYFUNCTION("""COMPUTED_VALUE"""),"vine")</f>
        <v>vine</v>
      </c>
      <c r="R122" s="64" t="str">
        <f ca="1">IFERROR(__xludf.DUMMYFUNCTION("""COMPUTED_VALUE"""),"Berry")</f>
        <v>Berry</v>
      </c>
      <c r="S122" s="64" t="str">
        <f ca="1">IFERROR(__xludf.DUMMYFUNCTION("""COMPUTED_VALUE"""),"Sementium")</f>
        <v>Sementium</v>
      </c>
      <c r="T122" s="64" t="str">
        <f ca="1">IFERROR(__xludf.DUMMYFUNCTION("""COMPUTED_VALUE"""),"None")</f>
        <v>None</v>
      </c>
      <c r="U122" s="64" t="str">
        <f ca="1">IFERROR(__xludf.DUMMYFUNCTION("""COMPUTED_VALUE"""),"None")</f>
        <v>None</v>
      </c>
      <c r="V122" s="64" t="str">
        <f ca="1">IFERROR(__xludf.DUMMYFUNCTION("""COMPUTED_VALUE"""),"blastberry")</f>
        <v>blastberry</v>
      </c>
      <c r="W122" s="64" t="str">
        <f ca="1">IFERROR(__xludf.DUMMYFUNCTION("""COMPUTED_VALUE"""),"Ranged")</f>
        <v>Ranged</v>
      </c>
      <c r="X122" s="64" t="str">
        <f ca="1">IFERROR(__xludf.DUMMYFUNCTION("""COMPUTED_VALUE"""),"PvZ 2")</f>
        <v>PvZ 2</v>
      </c>
      <c r="Y122" s="65" t="str">
        <f ca="1">IFERROR(__xludf.DUMMYFUNCTION("""COMPUTED_VALUE"""),"https://static.wikia.nocookie.net/plantsvszombies/images/d/df/Blastberry_Vine2.png/revision/latest?cb=20190723185536")</f>
        <v>https://static.wikia.nocookie.net/plantsvszombies/images/d/df/Blastberry_Vine2.png/revision/latest?cb=20190723185536</v>
      </c>
    </row>
    <row r="123" spans="1:25" x14ac:dyDescent="0.2">
      <c r="A123" s="64">
        <f ca="1">IFERROR(__xludf.DUMMYFUNCTION("""COMPUTED_VALUE"""),122)</f>
        <v>122</v>
      </c>
      <c r="B123" s="64" t="str">
        <f ca="1">IFERROR(__xludf.DUMMYFUNCTION("""COMPUTED_VALUE"""),"Pokra")</f>
        <v>Pokra</v>
      </c>
      <c r="C123" s="64" t="str">
        <f ca="1">IFERROR(__xludf.DUMMYFUNCTION("""COMPUTED_VALUE"""),"Quibrabo")</f>
        <v>Quibrabo</v>
      </c>
      <c r="D123" s="64" t="str">
        <f ca="1">IFERROR(__xludf.DUMMYFUNCTION("""COMPUTED_VALUE"""),"Perfura")</f>
        <v>Perfura</v>
      </c>
      <c r="E123" s="64" t="str">
        <f ca="1">IFERROR(__xludf.DUMMYFUNCTION("""COMPUTED_VALUE"""),"Usa golpes perfurantes em zumbis próximos, esses golpes envenenam o zumbi deixando-o mais lento.")</f>
        <v>Usa golpes perfurantes em zumbis próximos, esses golpes envenenam o zumbi deixando-o mais lento.</v>
      </c>
      <c r="F123" s="64">
        <f ca="1">IFERROR(__xludf.DUMMYFUNCTION("""COMPUTED_VALUE"""),175)</f>
        <v>175</v>
      </c>
      <c r="G123" s="64">
        <f ca="1">IFERROR(__xludf.DUMMYFUNCTION("""COMPUTED_VALUE"""),300)</f>
        <v>300</v>
      </c>
      <c r="H123" s="64">
        <f ca="1">IFERROR(__xludf.DUMMYFUNCTION("""COMPUTED_VALUE"""),60)</f>
        <v>60</v>
      </c>
      <c r="I123" s="64">
        <f ca="1">IFERROR(__xludf.DUMMYFUNCTION("""COMPUTED_VALUE"""),7)</f>
        <v>7</v>
      </c>
      <c r="J123" s="64" t="str">
        <f ca="1">IFERROR(__xludf.DUMMYFUNCTION("""COMPUTED_VALUE"""),"Launches several powerful spikes that both pierces and slows zombies.")</f>
        <v>Launches several powerful spikes that both pierces and slows zombies.</v>
      </c>
      <c r="K123" s="64"/>
      <c r="L123" s="64"/>
      <c r="M123" s="64" t="b">
        <f ca="1">IFERROR(__xludf.DUMMYFUNCTION("""COMPUTED_VALUE"""),FALSE)</f>
        <v>0</v>
      </c>
      <c r="N123" s="64" t="b">
        <f ca="1">IFERROR(__xludf.DUMMYFUNCTION("""COMPUTED_VALUE"""),FALSE)</f>
        <v>0</v>
      </c>
      <c r="O123" s="64">
        <f ca="1">IFERROR(__xludf.DUMMYFUNCTION("""COMPUTED_VALUE"""),0)</f>
        <v>0</v>
      </c>
      <c r="P123" s="64" t="str">
        <f ca="1">IFERROR(__xludf.DUMMYFUNCTION("""COMPUTED_VALUE"""),"Legendary")</f>
        <v>Legendary</v>
      </c>
      <c r="Q123" s="64" t="str">
        <f ca="1">IFERROR(__xludf.DUMMYFUNCTION("""COMPUTED_VALUE"""),"poison, slowing")</f>
        <v>poison, slowing</v>
      </c>
      <c r="R123" s="64" t="str">
        <f ca="1">IFERROR(__xludf.DUMMYFUNCTION("""COMPUTED_VALUE"""),"Vegetable")</f>
        <v>Vegetable</v>
      </c>
      <c r="S123" s="64" t="str">
        <f ca="1">IFERROR(__xludf.DUMMYFUNCTION("""COMPUTED_VALUE"""),"Sementium")</f>
        <v>Sementium</v>
      </c>
      <c r="T123" s="64" t="str">
        <f ca="1">IFERROR(__xludf.DUMMYFUNCTION("""COMPUTED_VALUE"""),"None")</f>
        <v>None</v>
      </c>
      <c r="U123" s="64" t="str">
        <f ca="1">IFERROR(__xludf.DUMMYFUNCTION("""COMPUTED_VALUE"""),"None")</f>
        <v>None</v>
      </c>
      <c r="V123" s="64" t="str">
        <f ca="1">IFERROR(__xludf.DUMMYFUNCTION("""COMPUTED_VALUE"""),"pokra")</f>
        <v>pokra</v>
      </c>
      <c r="W123" s="64" t="str">
        <f ca="1">IFERROR(__xludf.DUMMYFUNCTION("""COMPUTED_VALUE"""),"Vanguard")</f>
        <v>Vanguard</v>
      </c>
      <c r="X123" s="64" t="str">
        <f ca="1">IFERROR(__xludf.DUMMYFUNCTION("""COMPUTED_VALUE"""),"PvZ 2, PvZ 2 Chinease")</f>
        <v>PvZ 2, PvZ 2 Chinease</v>
      </c>
      <c r="Y123" s="65" t="str">
        <f ca="1">IFERROR(__xludf.DUMMYFUNCTION("""COMPUTED_VALUE"""),"https://static.wikia.nocookie.net/plantsvszombies/images/3/30/Pokra2.png/revision/latest?cb=20200601021310")</f>
        <v>https://static.wikia.nocookie.net/plantsvszombies/images/3/30/Pokra2.png/revision/latest?cb=20200601021310</v>
      </c>
    </row>
    <row r="124" spans="1:25" x14ac:dyDescent="0.2">
      <c r="A124" s="64">
        <f ca="1">IFERROR(__xludf.DUMMYFUNCTION("""COMPUTED_VALUE"""),123)</f>
        <v>123</v>
      </c>
      <c r="B124" s="64" t="str">
        <f ca="1">IFERROR(__xludf.DUMMYFUNCTION("""COMPUTED_VALUE"""),"Imp Pear")</f>
        <v>Imp Pear</v>
      </c>
      <c r="C124" s="64" t="str">
        <f ca="1">IFERROR(__xludf.DUMMYFUNCTION("""COMPUTED_VALUE"""),"Perajudica")</f>
        <v>Perajudica</v>
      </c>
      <c r="D124" s="64" t="str">
        <f ca="1">IFERROR(__xludf.DUMMYFUNCTION("""COMPUTED_VALUE"""),"Envenenada")</f>
        <v>Envenenada</v>
      </c>
      <c r="E124" s="64" t="str">
        <f ca="1">IFERROR(__xludf.DUMMYFUNCTION("""COMPUTED_VALUE"""),"Transforma o zumbi que a comer em um zumbinho, o zumbinho que a comer é nocauteado gerando um gás paralizante.")</f>
        <v>Transforma o zumbi que a comer em um zumbinho, o zumbinho que a comer é nocauteado gerando um gás paralizante.</v>
      </c>
      <c r="F124" s="64">
        <f ca="1">IFERROR(__xludf.DUMMYFUNCTION("""COMPUTED_VALUE"""),0)</f>
        <v>0</v>
      </c>
      <c r="G124" s="64">
        <f ca="1">IFERROR(__xludf.DUMMYFUNCTION("""COMPUTED_VALUE"""),300)</f>
        <v>300</v>
      </c>
      <c r="H124" s="64">
        <f ca="1">IFERROR(__xludf.DUMMYFUNCTION("""COMPUTED_VALUE"""),0)</f>
        <v>0</v>
      </c>
      <c r="I124" s="64">
        <f ca="1">IFERROR(__xludf.DUMMYFUNCTION("""COMPUTED_VALUE"""),5)</f>
        <v>5</v>
      </c>
      <c r="J124" s="64" t="str">
        <f ca="1">IFERROR(__xludf.DUMMYFUNCTION("""COMPUTED_VALUE"""),"Randomly transforms five zombies on the lawn into Imps.")</f>
        <v>Randomly transforms five zombies on the lawn into Imps.</v>
      </c>
      <c r="K124" s="64"/>
      <c r="L124" s="64"/>
      <c r="M124" s="64" t="b">
        <f ca="1">IFERROR(__xludf.DUMMYFUNCTION("""COMPUTED_VALUE"""),TRUE)</f>
        <v>1</v>
      </c>
      <c r="N124" s="64" t="b">
        <f ca="1">IFERROR(__xludf.DUMMYFUNCTION("""COMPUTED_VALUE"""),FALSE)</f>
        <v>0</v>
      </c>
      <c r="O124" s="64">
        <f ca="1">IFERROR(__xludf.DUMMYFUNCTION("""COMPUTED_VALUE"""),0)</f>
        <v>0</v>
      </c>
      <c r="P124" s="64" t="str">
        <f ca="1">IFERROR(__xludf.DUMMYFUNCTION("""COMPUTED_VALUE"""),"Epic")</f>
        <v>Epic</v>
      </c>
      <c r="Q124" s="64" t="str">
        <f ca="1">IFERROR(__xludf.DUMMYFUNCTION("""COMPUTED_VALUE"""),"control")</f>
        <v>control</v>
      </c>
      <c r="R124" s="64" t="str">
        <f ca="1">IFERROR(__xludf.DUMMYFUNCTION("""COMPUTED_VALUE"""),"Fruit")</f>
        <v>Fruit</v>
      </c>
      <c r="S124" s="64" t="str">
        <f ca="1">IFERROR(__xludf.DUMMYFUNCTION("""COMPUTED_VALUE"""),"Sementium")</f>
        <v>Sementium</v>
      </c>
      <c r="T124" s="64" t="str">
        <f ca="1">IFERROR(__xludf.DUMMYFUNCTION("""COMPUTED_VALUE"""),"None")</f>
        <v>None</v>
      </c>
      <c r="U124" s="64" t="str">
        <f ca="1">IFERROR(__xludf.DUMMYFUNCTION("""COMPUTED_VALUE"""),"None")</f>
        <v>None</v>
      </c>
      <c r="V124" s="64" t="str">
        <f ca="1">IFERROR(__xludf.DUMMYFUNCTION("""COMPUTED_VALUE"""),"imppear")</f>
        <v>imppear</v>
      </c>
      <c r="W124" s="64" t="str">
        <f ca="1">IFERROR(__xludf.DUMMYFUNCTION("""COMPUTED_VALUE"""),"Special")</f>
        <v>Special</v>
      </c>
      <c r="X124" s="64" t="str">
        <f ca="1">IFERROR(__xludf.DUMMYFUNCTION("""COMPUTED_VALUE"""),"PvZ 2, PvZ 2 Chinease")</f>
        <v>PvZ 2, PvZ 2 Chinease</v>
      </c>
      <c r="Y124" s="65" t="str">
        <f ca="1">IFERROR(__xludf.DUMMYFUNCTION("""COMPUTED_VALUE"""),"https://static.wikia.nocookie.net/plantsvszombies/images/6/6e/Imp_Pear2.png/revision/latest?cb=20190723185522")</f>
        <v>https://static.wikia.nocookie.net/plantsvszombies/images/6/6e/Imp_Pear2.png/revision/latest?cb=20190723185522</v>
      </c>
    </row>
    <row r="125" spans="1:25" x14ac:dyDescent="0.2">
      <c r="A125" s="64">
        <f ca="1">IFERROR(__xludf.DUMMYFUNCTION("""COMPUTED_VALUE"""),124)</f>
        <v>124</v>
      </c>
      <c r="B125" s="64" t="str">
        <f ca="1">IFERROR(__xludf.DUMMYFUNCTION("""COMPUTED_VALUE"""),"Pumpkin")</f>
        <v>Pumpkin</v>
      </c>
      <c r="C125" s="64" t="str">
        <f ca="1">IFERROR(__xludf.DUMMYFUNCTION("""COMPUTED_VALUE"""),"Abóbora")</f>
        <v>Abóbora</v>
      </c>
      <c r="D125" s="64" t="str">
        <f ca="1">IFERROR(__xludf.DUMMYFUNCTION("""COMPUTED_VALUE"""),"Endurecida")</f>
        <v>Endurecida</v>
      </c>
      <c r="E125" s="64" t="str">
        <f ca="1">IFERROR(__xludf.DUMMYFUNCTION("""COMPUTED_VALUE"""),"Pode ser plantada com outra planta para fornece-la mais defesa. Além disso, fornece uma proteção para a planta.")</f>
        <v>Pode ser plantada com outra planta para fornece-la mais defesa. Além disso, fornece uma proteção para a planta.</v>
      </c>
      <c r="F125" s="64">
        <f ca="1">IFERROR(__xludf.DUMMYFUNCTION("""COMPUTED_VALUE"""),150)</f>
        <v>150</v>
      </c>
      <c r="G125" s="64">
        <f ca="1">IFERROR(__xludf.DUMMYFUNCTION("""COMPUTED_VALUE"""),4000)</f>
        <v>4000</v>
      </c>
      <c r="H125" s="64">
        <f ca="1">IFERROR(__xludf.DUMMYFUNCTION("""COMPUTED_VALUE"""),0)</f>
        <v>0</v>
      </c>
      <c r="I125" s="64">
        <f ca="1">IFERROR(__xludf.DUMMYFUNCTION("""COMPUTED_VALUE"""),12)</f>
        <v>12</v>
      </c>
      <c r="J125" s="64" t="str">
        <f ca="1">IFERROR(__xludf.DUMMYFUNCTION("""COMPUTED_VALUE"""),"Creates a hard armor shell, that can absorb additional damage.")</f>
        <v>Creates a hard armor shell, that can absorb additional damage.</v>
      </c>
      <c r="K125" s="64"/>
      <c r="L125" s="64"/>
      <c r="M125" s="64" t="b">
        <f ca="1">IFERROR(__xludf.DUMMYFUNCTION("""COMPUTED_VALUE"""),FALSE)</f>
        <v>0</v>
      </c>
      <c r="N125" s="64" t="b">
        <f ca="1">IFERROR(__xludf.DUMMYFUNCTION("""COMPUTED_VALUE"""),FALSE)</f>
        <v>0</v>
      </c>
      <c r="O125" s="64">
        <f ca="1">IFERROR(__xludf.DUMMYFUNCTION("""COMPUTED_VALUE"""),0)</f>
        <v>0</v>
      </c>
      <c r="P125" s="64" t="str">
        <f ca="1">IFERROR(__xludf.DUMMYFUNCTION("""COMPUTED_VALUE"""),"Epic")</f>
        <v>Epic</v>
      </c>
      <c r="Q125" s="64" t="str">
        <f ca="1">IFERROR(__xludf.DUMMYFUNCTION("""COMPUTED_VALUE"""),"vine")</f>
        <v>vine</v>
      </c>
      <c r="R125" s="64" t="str">
        <f ca="1">IFERROR(__xludf.DUMMYFUNCTION("""COMPUTED_VALUE"""),"Vegetable")</f>
        <v>Vegetable</v>
      </c>
      <c r="S125" s="64" t="str">
        <f ca="1">IFERROR(__xludf.DUMMYFUNCTION("""COMPUTED_VALUE"""),"Sementium")</f>
        <v>Sementium</v>
      </c>
      <c r="T125" s="64" t="str">
        <f ca="1">IFERROR(__xludf.DUMMYFUNCTION("""COMPUTED_VALUE"""),"None")</f>
        <v>None</v>
      </c>
      <c r="U125" s="64" t="str">
        <f ca="1">IFERROR(__xludf.DUMMYFUNCTION("""COMPUTED_VALUE"""),"None")</f>
        <v>None</v>
      </c>
      <c r="V125" s="64" t="str">
        <f ca="1">IFERROR(__xludf.DUMMYFUNCTION("""COMPUTED_VALUE"""),"pumpkin")</f>
        <v>pumpkin</v>
      </c>
      <c r="W125" s="64" t="str">
        <f ca="1">IFERROR(__xludf.DUMMYFUNCTION("""COMPUTED_VALUE"""),"Tough")</f>
        <v>Tough</v>
      </c>
      <c r="X125" s="64" t="str">
        <f ca="1">IFERROR(__xludf.DUMMYFUNCTION("""COMPUTED_VALUE"""),"PvZ, PvZ 2, PvZ 2 Chinease, PvZ Heroes")</f>
        <v>PvZ, PvZ 2, PvZ 2 Chinease, PvZ Heroes</v>
      </c>
      <c r="Y125" s="65" t="str">
        <f ca="1">IFERROR(__xludf.DUMMYFUNCTION("""COMPUTED_VALUE"""),"https://static.wikia.nocookie.net/plantsvszombies/images/7/73/Pumpkin2.png/revision/latest?cb=20191004193552")</f>
        <v>https://static.wikia.nocookie.net/plantsvszombies/images/7/73/Pumpkin2.png/revision/latest?cb=20191004193552</v>
      </c>
    </row>
    <row r="126" spans="1:25" x14ac:dyDescent="0.2">
      <c r="A126" s="64">
        <f ca="1">IFERROR(__xludf.DUMMYFUNCTION("""COMPUTED_VALUE"""),125)</f>
        <v>125</v>
      </c>
      <c r="B126" s="64" t="str">
        <f ca="1">IFERROR(__xludf.DUMMYFUNCTION("""COMPUTED_VALUE"""),"Pyre Vine")</f>
        <v>Pyre Vine</v>
      </c>
      <c r="C126" s="64" t="str">
        <f ca="1">IFERROR(__xludf.DUMMYFUNCTION("""COMPUTED_VALUE"""),"Trepadeira Flamejante")</f>
        <v>Trepadeira Flamejante</v>
      </c>
      <c r="D126" s="64" t="str">
        <f ca="1">IFERROR(__xludf.DUMMYFUNCTION("""COMPUTED_VALUE"""),"Aquecida")</f>
        <v>Aquecida</v>
      </c>
      <c r="E126" s="64" t="str">
        <f ca="1">IFERROR(__xludf.DUMMYFUNCTION("""COMPUTED_VALUE"""),"Pode ser plantada com outra planta para fornece-la mais defesa. Além disso, pode usar um ataque de chamas aos zumbis próximos.")</f>
        <v>Pode ser plantada com outra planta para fornece-la mais defesa. Além disso, pode usar um ataque de chamas aos zumbis próximos.</v>
      </c>
      <c r="F126" s="64">
        <f ca="1">IFERROR(__xludf.DUMMYFUNCTION("""COMPUTED_VALUE"""),125)</f>
        <v>125</v>
      </c>
      <c r="G126" s="64">
        <f ca="1">IFERROR(__xludf.DUMMYFUNCTION("""COMPUTED_VALUE"""),300)</f>
        <v>300</v>
      </c>
      <c r="H126" s="64">
        <f ca="1">IFERROR(__xludf.DUMMYFUNCTION("""COMPUTED_VALUE"""),30)</f>
        <v>30</v>
      </c>
      <c r="I126" s="64">
        <f ca="1">IFERROR(__xludf.DUMMYFUNCTION("""COMPUTED_VALUE"""),10)</f>
        <v>10</v>
      </c>
      <c r="J126" s="64" t="str">
        <f ca="1">IFERROR(__xludf.DUMMYFUNCTION("""COMPUTED_VALUE"""),"Lights the entire column on fire, dealing massive damage to every zombie.")</f>
        <v>Lights the entire column on fire, dealing massive damage to every zombie.</v>
      </c>
      <c r="K126" s="64"/>
      <c r="L126" s="64"/>
      <c r="M126" s="64" t="b">
        <f ca="1">IFERROR(__xludf.DUMMYFUNCTION("""COMPUTED_VALUE"""),FALSE)</f>
        <v>0</v>
      </c>
      <c r="N126" s="64" t="b">
        <f ca="1">IFERROR(__xludf.DUMMYFUNCTION("""COMPUTED_VALUE"""),FALSE)</f>
        <v>0</v>
      </c>
      <c r="O126" s="64">
        <f ca="1">IFERROR(__xludf.DUMMYFUNCTION("""COMPUTED_VALUE"""),0)</f>
        <v>0</v>
      </c>
      <c r="P126" s="64" t="str">
        <f ca="1">IFERROR(__xludf.DUMMYFUNCTION("""COMPUTED_VALUE"""),"Rare")</f>
        <v>Rare</v>
      </c>
      <c r="Q126" s="64" t="str">
        <f ca="1">IFERROR(__xludf.DUMMYFUNCTION("""COMPUTED_VALUE"""),"vine")</f>
        <v>vine</v>
      </c>
      <c r="R126" s="64" t="str">
        <f ca="1">IFERROR(__xludf.DUMMYFUNCTION("""COMPUTED_VALUE"""),"Leaf")</f>
        <v>Leaf</v>
      </c>
      <c r="S126" s="64" t="str">
        <f ca="1">IFERROR(__xludf.DUMMYFUNCTION("""COMPUTED_VALUE"""),"Sementium")</f>
        <v>Sementium</v>
      </c>
      <c r="T126" s="64" t="str">
        <f ca="1">IFERROR(__xludf.DUMMYFUNCTION("""COMPUTED_VALUE"""),"None")</f>
        <v>None</v>
      </c>
      <c r="U126" s="64" t="str">
        <f ca="1">IFERROR(__xludf.DUMMYFUNCTION("""COMPUTED_VALUE"""),"None")</f>
        <v>None</v>
      </c>
      <c r="V126" s="64" t="str">
        <f ca="1">IFERROR(__xludf.DUMMYFUNCTION("""COMPUTED_VALUE"""),"pyrevine")</f>
        <v>pyrevine</v>
      </c>
      <c r="W126" s="64" t="str">
        <f ca="1">IFERROR(__xludf.DUMMYFUNCTION("""COMPUTED_VALUE"""),"Vanguard")</f>
        <v>Vanguard</v>
      </c>
      <c r="X126" s="64" t="str">
        <f ca="1">IFERROR(__xludf.DUMMYFUNCTION("""COMPUTED_VALUE"""),"PvZ 2, PvZ 2 Chinease")</f>
        <v>PvZ 2, PvZ 2 Chinease</v>
      </c>
      <c r="Y126" s="65" t="str">
        <f ca="1">IFERROR(__xludf.DUMMYFUNCTION("""COMPUTED_VALUE"""),"https://static.wikia.nocookie.net/plantsvszombies/images/0/07/Pyre_Vine2.png/revision/latest?cb=20190903223137")</f>
        <v>https://static.wikia.nocookie.net/plantsvszombies/images/0/07/Pyre_Vine2.png/revision/latest?cb=20190903223137</v>
      </c>
    </row>
    <row r="127" spans="1:25" x14ac:dyDescent="0.2">
      <c r="A127" s="64">
        <f ca="1">IFERROR(__xludf.DUMMYFUNCTION("""COMPUTED_VALUE"""),126)</f>
        <v>126</v>
      </c>
      <c r="B127" s="64" t="str">
        <f ca="1">IFERROR(__xludf.DUMMYFUNCTION("""COMPUTED_VALUE"""),"Ice Bloom")</f>
        <v>Ice Bloom</v>
      </c>
      <c r="C127" s="64" t="str">
        <f ca="1">IFERROR(__xludf.DUMMYFUNCTION("""COMPUTED_VALUE"""),"Broto Gelado")</f>
        <v>Broto Gelado</v>
      </c>
      <c r="D127" s="64" t="str">
        <f ca="1">IFERROR(__xludf.DUMMYFUNCTION("""COMPUTED_VALUE"""),"Resfriada")</f>
        <v>Resfriada</v>
      </c>
      <c r="E127" s="64" t="str">
        <f ca="1">IFERROR(__xludf.DUMMYFUNCTION("""COMPUTED_VALUE"""),"Congela, resfria e causa dano em todos os zumbis do campo, principalmente aqueles em uma área ao redor desta planta.")</f>
        <v>Congela, resfria e causa dano em todos os zumbis do campo, principalmente aqueles em uma área ao redor desta planta.</v>
      </c>
      <c r="F127" s="64">
        <f ca="1">IFERROR(__xludf.DUMMYFUNCTION("""COMPUTED_VALUE"""),200)</f>
        <v>200</v>
      </c>
      <c r="G127" s="64">
        <f ca="1">IFERROR(__xludf.DUMMYFUNCTION("""COMPUTED_VALUE"""),1)</f>
        <v>1</v>
      </c>
      <c r="H127" s="64">
        <f ca="1">IFERROR(__xludf.DUMMYFUNCTION("""COMPUTED_VALUE"""),200)</f>
        <v>200</v>
      </c>
      <c r="I127" s="64">
        <f ca="1">IFERROR(__xludf.DUMMYFUNCTION("""COMPUTED_VALUE"""),25)</f>
        <v>25</v>
      </c>
      <c r="J127" s="64" t="str">
        <f ca="1">IFERROR(__xludf.DUMMYFUNCTION("""COMPUTED_VALUE"""),"No Plant Food effect")</f>
        <v>No Plant Food effect</v>
      </c>
      <c r="K127" s="64"/>
      <c r="L127" s="64" t="str">
        <f ca="1">IFERROR(__xludf.DUMMYFUNCTION("""COMPUTED_VALUE"""),"Special - Weak zombies in 3x3 area are iceblocked when defeated")</f>
        <v>Special - Weak zombies in 3x3 area are iceblocked when defeated</v>
      </c>
      <c r="M127" s="64" t="b">
        <f ca="1">IFERROR(__xludf.DUMMYFUNCTION("""COMPUTED_VALUE"""),TRUE)</f>
        <v>1</v>
      </c>
      <c r="N127" s="64" t="b">
        <f ca="1">IFERROR(__xludf.DUMMYFUNCTION("""COMPUTED_VALUE"""),TRUE)</f>
        <v>1</v>
      </c>
      <c r="O127" s="64">
        <f ca="1">IFERROR(__xludf.DUMMYFUNCTION("""COMPUTED_VALUE"""),0)</f>
        <v>0</v>
      </c>
      <c r="P127" s="64" t="str">
        <f ca="1">IFERROR(__xludf.DUMMYFUNCTION("""COMPUTED_VALUE"""),"Epic")</f>
        <v>Epic</v>
      </c>
      <c r="Q127" s="64" t="str">
        <f ca="1">IFERROR(__xludf.DUMMYFUNCTION("""COMPUTED_VALUE"""),"area-effect, freezing, chilling")</f>
        <v>area-effect, freezing, chilling</v>
      </c>
      <c r="R127" s="64" t="str">
        <f ca="1">IFERROR(__xludf.DUMMYFUNCTION("""COMPUTED_VALUE"""),"Leaf")</f>
        <v>Leaf</v>
      </c>
      <c r="S127" s="64" t="str">
        <f ca="1">IFERROR(__xludf.DUMMYFUNCTION("""COMPUTED_VALUE"""),"Sementium")</f>
        <v>Sementium</v>
      </c>
      <c r="T127" s="64" t="str">
        <f ca="1">IFERROR(__xludf.DUMMYFUNCTION("""COMPUTED_VALUE"""),"None")</f>
        <v>None</v>
      </c>
      <c r="U127" s="64" t="str">
        <f ca="1">IFERROR(__xludf.DUMMYFUNCTION("""COMPUTED_VALUE"""),"None")</f>
        <v>None</v>
      </c>
      <c r="V127" s="64" t="str">
        <f ca="1">IFERROR(__xludf.DUMMYFUNCTION("""COMPUTED_VALUE"""),"icebloom")</f>
        <v>icebloom</v>
      </c>
      <c r="W127" s="64" t="str">
        <f ca="1">IFERROR(__xludf.DUMMYFUNCTION("""COMPUTED_VALUE"""),"Special")</f>
        <v>Special</v>
      </c>
      <c r="X127" s="64" t="str">
        <f ca="1">IFERROR(__xludf.DUMMYFUNCTION("""COMPUTED_VALUE"""),"PvZ 2, PvZ 2 Chinease")</f>
        <v>PvZ 2, PvZ 2 Chinease</v>
      </c>
      <c r="Y127" s="65" t="str">
        <f ca="1">IFERROR(__xludf.DUMMYFUNCTION("""COMPUTED_VALUE"""),"https://static.wikia.nocookie.net/plantsvszombies/images/8/8d/Ice_Bloom2.png/revision/latest?cb=20221123060152")</f>
        <v>https://static.wikia.nocookie.net/plantsvszombies/images/8/8d/Ice_Bloom2.png/revision/latest?cb=20221123060152</v>
      </c>
    </row>
    <row r="128" spans="1:25" x14ac:dyDescent="0.2">
      <c r="A128" s="64">
        <f ca="1">IFERROR(__xludf.DUMMYFUNCTION("""COMPUTED_VALUE"""),127)</f>
        <v>127</v>
      </c>
      <c r="B128" s="64" t="str">
        <f ca="1">IFERROR(__xludf.DUMMYFUNCTION("""COMPUTED_VALUE"""),"Dartichoke")</f>
        <v>Dartichoke</v>
      </c>
      <c r="C128" s="64" t="str">
        <f ca="1">IFERROR(__xludf.DUMMYFUNCTION("""COMPUTED_VALUE"""),"Dardochofra")</f>
        <v>Dardochofra</v>
      </c>
      <c r="D128" s="64" t="str">
        <f ca="1">IFERROR(__xludf.DUMMYFUNCTION("""COMPUTED_VALUE"""),"Perfura")</f>
        <v>Perfura</v>
      </c>
      <c r="E128" s="64" t="str">
        <f ca="1">IFERROR(__xludf.DUMMYFUNCTION("""COMPUTED_VALUE"""),"Dispara poderosos ataques que buscam pelo zumbi mais perigoso na sua fileira. Tem chance de causar dano crítico 3x mais forte que o normal.")</f>
        <v>Dispara poderosos ataques que buscam pelo zumbi mais perigoso na sua fileira. Tem chance de causar dano crítico 3x mais forte que o normal.</v>
      </c>
      <c r="F128" s="64">
        <f ca="1">IFERROR(__xludf.DUMMYFUNCTION("""COMPUTED_VALUE"""),225)</f>
        <v>225</v>
      </c>
      <c r="G128" s="64">
        <f ca="1">IFERROR(__xludf.DUMMYFUNCTION("""COMPUTED_VALUE"""),300)</f>
        <v>300</v>
      </c>
      <c r="H128" s="64">
        <f ca="1">IFERROR(__xludf.DUMMYFUNCTION("""COMPUTED_VALUE"""),75)</f>
        <v>75</v>
      </c>
      <c r="I128" s="64">
        <f ca="1">IFERROR(__xludf.DUMMYFUNCTION("""COMPUTED_VALUE"""),8.5)</f>
        <v>8.5</v>
      </c>
      <c r="J128" s="64" t="str">
        <f ca="1">IFERROR(__xludf.DUMMYFUNCTION("""COMPUTED_VALUE"""),"Shoots darts that deal with damage to a multiple of zombies on the lawn.")</f>
        <v>Shoots darts that deal with damage to a multiple of zombies on the lawn.</v>
      </c>
      <c r="K128" s="64" t="str">
        <f ca="1">IFERROR(__xludf.DUMMYFUNCTION("""COMPUTED_VALUE"""),"Has a limited supply of darts, then must recharge")</f>
        <v>Has a limited supply of darts, then must recharge</v>
      </c>
      <c r="L128" s="64" t="str">
        <f ca="1">IFERROR(__xludf.DUMMYFUNCTION("""COMPUTED_VALUE"""),"Special - Each shot has a chance to do critical damage")</f>
        <v>Special - Each shot has a chance to do critical damage</v>
      </c>
      <c r="M128" s="64" t="b">
        <f ca="1">IFERROR(__xludf.DUMMYFUNCTION("""COMPUTED_VALUE"""),FALSE)</f>
        <v>0</v>
      </c>
      <c r="N128" s="64" t="b">
        <f ca="1">IFERROR(__xludf.DUMMYFUNCTION("""COMPUTED_VALUE"""),FALSE)</f>
        <v>0</v>
      </c>
      <c r="O128" s="64">
        <f ca="1">IFERROR(__xludf.DUMMYFUNCTION("""COMPUTED_VALUE"""),0)</f>
        <v>0</v>
      </c>
      <c r="P128" s="64" t="str">
        <f ca="1">IFERROR(__xludf.DUMMYFUNCTION("""COMPUTED_VALUE"""),"Rare")</f>
        <v>Rare</v>
      </c>
      <c r="Q128" s="64"/>
      <c r="R128" s="64" t="str">
        <f ca="1">IFERROR(__xludf.DUMMYFUNCTION("""COMPUTED_VALUE"""),"Flower")</f>
        <v>Flower</v>
      </c>
      <c r="S128" s="64" t="str">
        <f ca="1">IFERROR(__xludf.DUMMYFUNCTION("""COMPUTED_VALUE"""),"Sementium")</f>
        <v>Sementium</v>
      </c>
      <c r="T128" s="64" t="str">
        <f ca="1">IFERROR(__xludf.DUMMYFUNCTION("""COMPUTED_VALUE"""),"None")</f>
        <v>None</v>
      </c>
      <c r="U128" s="64" t="str">
        <f ca="1">IFERROR(__xludf.DUMMYFUNCTION("""COMPUTED_VALUE"""),"None")</f>
        <v>None</v>
      </c>
      <c r="V128" s="64" t="str">
        <f ca="1">IFERROR(__xludf.DUMMYFUNCTION("""COMPUTED_VALUE"""),"dartichok
")</f>
        <v xml:space="preserve">dartichok
</v>
      </c>
      <c r="W128" s="64" t="str">
        <f ca="1">IFERROR(__xludf.DUMMYFUNCTION("""COMPUTED_VALUE"""),"Ranged")</f>
        <v>Ranged</v>
      </c>
      <c r="X128" s="64" t="str">
        <f ca="1">IFERROR(__xludf.DUMMYFUNCTION("""COMPUTED_VALUE"""),"PvZ 2, PvZ 2 Chinease")</f>
        <v>PvZ 2, PvZ 2 Chinease</v>
      </c>
      <c r="Y128" s="65" t="str">
        <f ca="1">IFERROR(__xludf.DUMMYFUNCTION("""COMPUTED_VALUE"""),"https://static.wikia.nocookie.net/plantsvszombies/images/8/8d/Dartichoke2.png/revision/latest?cb=20200209080432")</f>
        <v>https://static.wikia.nocookie.net/plantsvszombies/images/8/8d/Dartichoke2.png/revision/latest?cb=20200209080432</v>
      </c>
    </row>
    <row r="129" spans="1:25" x14ac:dyDescent="0.2">
      <c r="A129" s="64">
        <f ca="1">IFERROR(__xludf.DUMMYFUNCTION("""COMPUTED_VALUE"""),128)</f>
        <v>128</v>
      </c>
      <c r="B129" s="64" t="str">
        <f ca="1">IFERROR(__xludf.DUMMYFUNCTION("""COMPUTED_VALUE"""),"Ultomato")</f>
        <v>Ultomato</v>
      </c>
      <c r="C129" s="64" t="str">
        <f ca="1">IFERROR(__xludf.DUMMYFUNCTION("""COMPUTED_VALUE"""),"Ultomate")</f>
        <v>Ultomate</v>
      </c>
      <c r="D129" s="64" t="str">
        <f ca="1">IFERROR(__xludf.DUMMYFUNCTION("""COMPUTED_VALUE"""),"Fila")</f>
        <v>Fila</v>
      </c>
      <c r="E129" s="64" t="str">
        <f ca="1">IFERROR(__xludf.DUMMYFUNCTION("""COMPUTED_VALUE"""),"Carrega e lança um feixe devsatador, o poder do ultomato aumenta até 3 vezes para o número de vezes que ele foi plantado.")</f>
        <v>Carrega e lança um feixe devsatador, o poder do ultomato aumenta até 3 vezes para o número de vezes que ele foi plantado.</v>
      </c>
      <c r="F129" s="64">
        <f ca="1">IFERROR(__xludf.DUMMYFUNCTION("""COMPUTED_VALUE"""),250)</f>
        <v>250</v>
      </c>
      <c r="G129" s="64">
        <f ca="1">IFERROR(__xludf.DUMMYFUNCTION("""COMPUTED_VALUE"""),300)</f>
        <v>300</v>
      </c>
      <c r="H129" s="64">
        <f ca="1">IFERROR(__xludf.DUMMYFUNCTION("""COMPUTED_VALUE"""),350)</f>
        <v>350</v>
      </c>
      <c r="I129" s="64">
        <f ca="1">IFERROR(__xludf.DUMMYFUNCTION("""COMPUTED_VALUE"""),6.5)</f>
        <v>6.5</v>
      </c>
      <c r="J129" s="64" t="str">
        <f ca="1">IFERROR(__xludf.DUMMYFUNCTION("""COMPUTED_VALUE"""),"Explodes dealing a massive amount of damage to all zombies on the lawn.")</f>
        <v>Explodes dealing a massive amount of damage to all zombies on the lawn.</v>
      </c>
      <c r="K129" s="64" t="str">
        <f ca="1">IFERROR(__xludf.DUMMYFUNCTION("""COMPUTED_VALUE"""),"Costs more sun the more Ultomatoes are on the board")</f>
        <v>Costs more sun the more Ultomatoes are on the board</v>
      </c>
      <c r="L129" s="64" t="str">
        <f ca="1">IFERROR(__xludf.DUMMYFUNCTION("""COMPUTED_VALUE"""),"Special - Can be planted on top of itself, mutating from green to yellow to red")</f>
        <v>Special - Can be planted on top of itself, mutating from green to yellow to red</v>
      </c>
      <c r="M129" s="64" t="b">
        <f ca="1">IFERROR(__xludf.DUMMYFUNCTION("""COMPUTED_VALUE"""),FALSE)</f>
        <v>0</v>
      </c>
      <c r="N129" s="64" t="b">
        <f ca="1">IFERROR(__xludf.DUMMYFUNCTION("""COMPUTED_VALUE"""),FALSE)</f>
        <v>0</v>
      </c>
      <c r="O129" s="64">
        <f ca="1">IFERROR(__xludf.DUMMYFUNCTION("""COMPUTED_VALUE"""),0)</f>
        <v>0</v>
      </c>
      <c r="P129" s="64" t="str">
        <f ca="1">IFERROR(__xludf.DUMMYFUNCTION("""COMPUTED_VALUE"""),"Mythical")</f>
        <v>Mythical</v>
      </c>
      <c r="Q129" s="64"/>
      <c r="R129" s="64" t="str">
        <f ca="1">IFERROR(__xludf.DUMMYFUNCTION("""COMPUTED_VALUE"""),"Fruit")</f>
        <v>Fruit</v>
      </c>
      <c r="S129" s="64" t="str">
        <f ca="1">IFERROR(__xludf.DUMMYFUNCTION("""COMPUTED_VALUE"""),"Sementium")</f>
        <v>Sementium</v>
      </c>
      <c r="T129" s="64" t="str">
        <f ca="1">IFERROR(__xludf.DUMMYFUNCTION("""COMPUTED_VALUE"""),"500")</f>
        <v>500</v>
      </c>
      <c r="U129" s="64" t="str">
        <f ca="1">IFERROR(__xludf.DUMMYFUNCTION("""COMPUTED_VALUE"""),"1600")</f>
        <v>1600</v>
      </c>
      <c r="V129" s="64" t="str">
        <f ca="1">IFERROR(__xludf.DUMMYFUNCTION("""COMPUTED_VALUE"""),"ultomato")</f>
        <v>ultomato</v>
      </c>
      <c r="W129" s="64" t="str">
        <f ca="1">IFERROR(__xludf.DUMMYFUNCTION("""COMPUTED_VALUE"""),"Ranged")</f>
        <v>Ranged</v>
      </c>
      <c r="X129" s="64" t="str">
        <f ca="1">IFERROR(__xludf.DUMMYFUNCTION("""COMPUTED_VALUE"""),"PvZ 2, PvZ 2 Chinease")</f>
        <v>PvZ 2, PvZ 2 Chinease</v>
      </c>
      <c r="Y129" s="65" t="str">
        <f ca="1">IFERROR(__xludf.DUMMYFUNCTION("""COMPUTED_VALUE"""),"https://static.wikia.nocookie.net/plantsvszombies/images/d/df/Ultomato2.png/revision/latest?cb=20230313110032")</f>
        <v>https://static.wikia.nocookie.net/plantsvszombies/images/d/df/Ultomato2.png/revision/latest?cb=20230313110032</v>
      </c>
    </row>
    <row r="130" spans="1:25" x14ac:dyDescent="0.2">
      <c r="A130" s="64">
        <f ca="1">IFERROR(__xludf.DUMMYFUNCTION("""COMPUTED_VALUE"""),129)</f>
        <v>129</v>
      </c>
      <c r="B130" s="64" t="str">
        <f ca="1">IFERROR(__xludf.DUMMYFUNCTION("""COMPUTED_VALUE"""),"Gumnut")</f>
        <v>Gumnut</v>
      </c>
      <c r="C130" s="64" t="str">
        <f ca="1">IFERROR(__xludf.DUMMYFUNCTION("""COMPUTED_VALUE"""),"Nozclete")</f>
        <v>Nozclete</v>
      </c>
      <c r="D130" s="64" t="str">
        <f ca="1">IFERROR(__xludf.DUMMYFUNCTION("""COMPUTED_VALUE"""),"Endurecida")</f>
        <v>Endurecida</v>
      </c>
      <c r="E130" s="64" t="str">
        <f ca="1">IFERROR(__xludf.DUMMYFUNCTION("""COMPUTED_VALUE"""),"Lança uma goma de mascar em um zumbi, fazendo com que ele pare e impeça a passagem de outros zumbis.")</f>
        <v>Lança uma goma de mascar em um zumbi, fazendo com que ele pare e impeça a passagem de outros zumbis.</v>
      </c>
      <c r="F130" s="64">
        <f ca="1">IFERROR(__xludf.DUMMYFUNCTION("""COMPUTED_VALUE"""),125)</f>
        <v>125</v>
      </c>
      <c r="G130" s="64">
        <f ca="1">IFERROR(__xludf.DUMMYFUNCTION("""COMPUTED_VALUE"""),8000)</f>
        <v>8000</v>
      </c>
      <c r="H130" s="64">
        <f ca="1">IFERROR(__xludf.DUMMYFUNCTION("""COMPUTED_VALUE"""),0)</f>
        <v>0</v>
      </c>
      <c r="I130" s="64">
        <f ca="1">IFERROR(__xludf.DUMMYFUNCTION("""COMPUTED_VALUE"""),12)</f>
        <v>12</v>
      </c>
      <c r="J130" s="64" t="str">
        <f ca="1">IFERROR(__xludf.DUMMYFUNCTION("""COMPUTED_VALUE"""),"Shoots a large gum bubble that immobilizes a large number of zombies.")</f>
        <v>Shoots a large gum bubble that immobilizes a large number of zombies.</v>
      </c>
      <c r="K130" s="64" t="str">
        <f ca="1">IFERROR(__xludf.DUMMYFUNCTION("""COMPUTED_VALUE"""),"Best used against Gargantuars &amp; Football Mechs")</f>
        <v>Best used against Gargantuars &amp; Football Mechs</v>
      </c>
      <c r="L130" s="64" t="str">
        <f ca="1">IFERROR(__xludf.DUMMYFUNCTION("""COMPUTED_VALUE"""),"Special - Stronger zombies form stronger barriers")</f>
        <v>Special - Stronger zombies form stronger barriers</v>
      </c>
      <c r="M130" s="64" t="b">
        <f ca="1">IFERROR(__xludf.DUMMYFUNCTION("""COMPUTED_VALUE"""),FALSE)</f>
        <v>0</v>
      </c>
      <c r="N130" s="64" t="b">
        <f ca="1">IFERROR(__xludf.DUMMYFUNCTION("""COMPUTED_VALUE"""),FALSE)</f>
        <v>0</v>
      </c>
      <c r="O130" s="64">
        <f ca="1">IFERROR(__xludf.DUMMYFUNCTION("""COMPUTED_VALUE"""),0)</f>
        <v>0</v>
      </c>
      <c r="P130" s="64" t="str">
        <f ca="1">IFERROR(__xludf.DUMMYFUNCTION("""COMPUTED_VALUE"""),"Rare")</f>
        <v>Rare</v>
      </c>
      <c r="Q130" s="64" t="str">
        <f ca="1">IFERROR(__xludf.DUMMYFUNCTION("""COMPUTED_VALUE"""),"control")</f>
        <v>control</v>
      </c>
      <c r="R130" s="64" t="str">
        <f ca="1">IFERROR(__xludf.DUMMYFUNCTION("""COMPUTED_VALUE"""),"Nut")</f>
        <v>Nut</v>
      </c>
      <c r="S130" s="64" t="str">
        <f ca="1">IFERROR(__xludf.DUMMYFUNCTION("""COMPUTED_VALUE"""),"Sementium")</f>
        <v>Sementium</v>
      </c>
      <c r="T130" s="64" t="str">
        <f ca="1">IFERROR(__xludf.DUMMYFUNCTION("""COMPUTED_VALUE"""),"None")</f>
        <v>None</v>
      </c>
      <c r="U130" s="64" t="str">
        <f ca="1">IFERROR(__xludf.DUMMYFUNCTION("""COMPUTED_VALUE"""),"None")</f>
        <v>None</v>
      </c>
      <c r="V130" s="64" t="str">
        <f ca="1">IFERROR(__xludf.DUMMYFUNCTION("""COMPUTED_VALUE"""),"gumnut")</f>
        <v>gumnut</v>
      </c>
      <c r="W130" s="64" t="str">
        <f ca="1">IFERROR(__xludf.DUMMYFUNCTION("""COMPUTED_VALUE"""),"Tough")</f>
        <v>Tough</v>
      </c>
      <c r="X130" s="64" t="str">
        <f ca="1">IFERROR(__xludf.DUMMYFUNCTION("""COMPUTED_VALUE"""),"PvZ 2, PvZ 2 Chinease")</f>
        <v>PvZ 2, PvZ 2 Chinease</v>
      </c>
      <c r="Y130" s="65" t="str">
        <f ca="1">IFERROR(__xludf.DUMMYFUNCTION("""COMPUTED_VALUE"""),"https://static.wikia.nocookie.net/plantsvszombies/images/9/9a/Gumnut2.png/revision/latest?cb=20200318003556")</f>
        <v>https://static.wikia.nocookie.net/plantsvszombies/images/9/9a/Gumnut2.png/revision/latest?cb=20200318003556</v>
      </c>
    </row>
    <row r="131" spans="1:25" x14ac:dyDescent="0.2">
      <c r="A131" s="64">
        <f ca="1">IFERROR(__xludf.DUMMYFUNCTION("""COMPUTED_VALUE"""),130)</f>
        <v>130</v>
      </c>
      <c r="B131" s="64" t="str">
        <f ca="1">IFERROR(__xludf.DUMMYFUNCTION("""COMPUTED_VALUE"""),"Shine Vine")</f>
        <v>Shine Vine</v>
      </c>
      <c r="C131" s="64" t="str">
        <f ca="1">IFERROR(__xludf.DUMMYFUNCTION("""COMPUTED_VALUE"""),"Trepadeira Brilhante")</f>
        <v>Trepadeira Brilhante</v>
      </c>
      <c r="D131" s="64" t="str">
        <f ca="1">IFERROR(__xludf.DUMMYFUNCTION("""COMPUTED_VALUE"""),"Esclarecida")</f>
        <v>Esclarecida</v>
      </c>
      <c r="E131" s="64" t="str">
        <f ca="1">IFERROR(__xludf.DUMMYFUNCTION("""COMPUTED_VALUE"""),"Pode ser plantada com outra planta, aumentando a produção de sóis dela, produz sóis adicionais, e criando um ataque paralizador quando atacado.")</f>
        <v>Pode ser plantada com outra planta, aumentando a produção de sóis dela, produz sóis adicionais, e criando um ataque paralizador quando atacado.</v>
      </c>
      <c r="F131" s="64">
        <f ca="1">IFERROR(__xludf.DUMMYFUNCTION("""COMPUTED_VALUE"""),75)</f>
        <v>75</v>
      </c>
      <c r="G131" s="64">
        <f ca="1">IFERROR(__xludf.DUMMYFUNCTION("""COMPUTED_VALUE"""),300)</f>
        <v>300</v>
      </c>
      <c r="H131" s="64">
        <f ca="1">IFERROR(__xludf.DUMMYFUNCTION("""COMPUTED_VALUE"""),0)</f>
        <v>0</v>
      </c>
      <c r="I131" s="64">
        <f ca="1">IFERROR(__xludf.DUMMYFUNCTION("""COMPUTED_VALUE"""),5)</f>
        <v>5</v>
      </c>
      <c r="J131" s="64" t="str">
        <f ca="1">IFERROR(__xludf.DUMMYFUNCTION("""COMPUTED_VALUE"""),"Produces sun and stuns all nearby zombies.")</f>
        <v>Produces sun and stuns all nearby zombies.</v>
      </c>
      <c r="K131" s="64" t="str">
        <f ca="1">IFERROR(__xludf.DUMMYFUNCTION("""COMPUTED_VALUE"""),"Best used on sun producer plants")</f>
        <v>Best used on sun producer plants</v>
      </c>
      <c r="L131" s="64" t="str">
        <f ca="1">IFERROR(__xludf.DUMMYFUNCTION("""COMPUTED_VALUE"""),"Special - Doesn't amplify Moonflower's sun production")</f>
        <v>Special - Doesn't amplify Moonflower's sun production</v>
      </c>
      <c r="M131" s="64" t="b">
        <f ca="1">IFERROR(__xludf.DUMMYFUNCTION("""COMPUTED_VALUE"""),FALSE)</f>
        <v>0</v>
      </c>
      <c r="N131" s="64" t="b">
        <f ca="1">IFERROR(__xludf.DUMMYFUNCTION("""COMPUTED_VALUE"""),FALSE)</f>
        <v>0</v>
      </c>
      <c r="O131" s="64">
        <f ca="1">IFERROR(__xludf.DUMMYFUNCTION("""COMPUTED_VALUE"""),50)</f>
        <v>50</v>
      </c>
      <c r="P131" s="64" t="str">
        <f ca="1">IFERROR(__xludf.DUMMYFUNCTION("""COMPUTED_VALUE"""),"Epic")</f>
        <v>Epic</v>
      </c>
      <c r="Q131" s="64" t="str">
        <f ca="1">IFERROR(__xludf.DUMMYFUNCTION("""COMPUTED_VALUE"""),"vine")</f>
        <v>vine</v>
      </c>
      <c r="R131" s="64" t="str">
        <f ca="1">IFERROR(__xludf.DUMMYFUNCTION("""COMPUTED_VALUE"""),"Flower")</f>
        <v>Flower</v>
      </c>
      <c r="S131" s="64" t="str">
        <f ca="1">IFERROR(__xludf.DUMMYFUNCTION("""COMPUTED_VALUE"""),"Sementium")</f>
        <v>Sementium</v>
      </c>
      <c r="T131" s="64" t="str">
        <f ca="1">IFERROR(__xludf.DUMMYFUNCTION("""COMPUTED_VALUE"""),"None")</f>
        <v>None</v>
      </c>
      <c r="U131" s="64" t="str">
        <f ca="1">IFERROR(__xludf.DUMMYFUNCTION("""COMPUTED_VALUE"""),"None")</f>
        <v>None</v>
      </c>
      <c r="V131" s="64" t="str">
        <f ca="1">IFERROR(__xludf.DUMMYFUNCTION("""COMPUTED_VALUE"""),"shinevine")</f>
        <v>shinevine</v>
      </c>
      <c r="W131" s="64" t="str">
        <f ca="1">IFERROR(__xludf.DUMMYFUNCTION("""COMPUTED_VALUE"""),"Sun")</f>
        <v>Sun</v>
      </c>
      <c r="X131" s="64" t="str">
        <f ca="1">IFERROR(__xludf.DUMMYFUNCTION("""COMPUTED_VALUE"""),"PvZ 2, PvZ 2 Chinease")</f>
        <v>PvZ 2, PvZ 2 Chinease</v>
      </c>
      <c r="Y131" s="65" t="str">
        <f ca="1">IFERROR(__xludf.DUMMYFUNCTION("""COMPUTED_VALUE"""),"https://static.wikia.nocookie.net/plantsvszombies/images/9/97/Shine_Vine2.png/revision/latest?cb=20200625090602")</f>
        <v>https://static.wikia.nocookie.net/plantsvszombies/images/9/97/Shine_Vine2.png/revision/latest?cb=20200625090602</v>
      </c>
    </row>
    <row r="132" spans="1:25" x14ac:dyDescent="0.2">
      <c r="A132" s="64">
        <f ca="1">IFERROR(__xludf.DUMMYFUNCTION("""COMPUTED_VALUE"""),131)</f>
        <v>131</v>
      </c>
      <c r="B132" s="64" t="str">
        <f ca="1">IFERROR(__xludf.DUMMYFUNCTION("""COMPUTED_VALUE"""),"Tumbleweed")</f>
        <v>Tumbleweed</v>
      </c>
      <c r="C132" s="64" t="str">
        <f ca="1">IFERROR(__xludf.DUMMYFUNCTION("""COMPUTED_VALUE"""),"Salsola Rolante")</f>
        <v>Salsola Rolante</v>
      </c>
      <c r="D132" s="64" t="str">
        <f ca="1">IFERROR(__xludf.DUMMYFUNCTION("""COMPUTED_VALUE"""),"Dispara")</f>
        <v>Dispara</v>
      </c>
      <c r="E132" s="64" t="str">
        <f ca="1">IFERROR(__xludf.DUMMYFUNCTION("""COMPUTED_VALUE"""),"Avança pela fileira recocheteando e machucando os zumbis com uma chance de nocautea-los.")</f>
        <v>Avança pela fileira recocheteando e machucando os zumbis com uma chance de nocautea-los.</v>
      </c>
      <c r="F132" s="64">
        <f ca="1">IFERROR(__xludf.DUMMYFUNCTION("""COMPUTED_VALUE"""),50)</f>
        <v>50</v>
      </c>
      <c r="G132" s="64">
        <f ca="1">IFERROR(__xludf.DUMMYFUNCTION("""COMPUTED_VALUE"""),1)</f>
        <v>1</v>
      </c>
      <c r="H132" s="64">
        <f ca="1">IFERROR(__xludf.DUMMYFUNCTION("""COMPUTED_VALUE"""),15)</f>
        <v>15</v>
      </c>
      <c r="I132" s="64">
        <f ca="1">IFERROR(__xludf.DUMMYFUNCTION("""COMPUTED_VALUE"""),5.5)</f>
        <v>5.5</v>
      </c>
      <c r="J132" s="64" t="str">
        <f ca="1">IFERROR(__xludf.DUMMYFUNCTION("""COMPUTED_VALUE"""),"No Plant Food effect")</f>
        <v>No Plant Food effect</v>
      </c>
      <c r="K132" s="64"/>
      <c r="L132" s="64" t="str">
        <f ca="1">IFERROR(__xludf.DUMMYFUNCTION("""COMPUTED_VALUE"""),"Special - Set aflame by Torchwood")</f>
        <v>Special - Set aflame by Torchwood</v>
      </c>
      <c r="M132" s="64" t="b">
        <f ca="1">IFERROR(__xludf.DUMMYFUNCTION("""COMPUTED_VALUE"""),TRUE)</f>
        <v>1</v>
      </c>
      <c r="N132" s="64" t="b">
        <f ca="1">IFERROR(__xludf.DUMMYFUNCTION("""COMPUTED_VALUE"""),TRUE)</f>
        <v>1</v>
      </c>
      <c r="O132" s="64">
        <f ca="1">IFERROR(__xludf.DUMMYFUNCTION("""COMPUTED_VALUE"""),0)</f>
        <v>0</v>
      </c>
      <c r="P132" s="64" t="str">
        <f ca="1">IFERROR(__xludf.DUMMYFUNCTION("""COMPUTED_VALUE"""),"Rare")</f>
        <v>Rare</v>
      </c>
      <c r="Q132" s="64"/>
      <c r="R132" s="64" t="str">
        <f ca="1">IFERROR(__xludf.DUMMYFUNCTION("""COMPUTED_VALUE"""),"Leaf")</f>
        <v>Leaf</v>
      </c>
      <c r="S132" s="64" t="str">
        <f ca="1">IFERROR(__xludf.DUMMYFUNCTION("""COMPUTED_VALUE"""),"Sementium")</f>
        <v>Sementium</v>
      </c>
      <c r="T132" s="64" t="str">
        <f ca="1">IFERROR(__xludf.DUMMYFUNCTION("""COMPUTED_VALUE"""),"None")</f>
        <v>None</v>
      </c>
      <c r="U132" s="64" t="str">
        <f ca="1">IFERROR(__xludf.DUMMYFUNCTION("""COMPUTED_VALUE"""),"None")</f>
        <v>None</v>
      </c>
      <c r="V132" s="64" t="str">
        <f ca="1">IFERROR(__xludf.DUMMYFUNCTION("""COMPUTED_VALUE"""),"tumbleweed")</f>
        <v>tumbleweed</v>
      </c>
      <c r="W132" s="64" t="str">
        <f ca="1">IFERROR(__xludf.DUMMYFUNCTION("""COMPUTED_VALUE"""),"Vanguard")</f>
        <v>Vanguard</v>
      </c>
      <c r="X132" s="64" t="str">
        <f ca="1">IFERROR(__xludf.DUMMYFUNCTION("""COMPUTED_VALUE"""),"PvZ 2, PvZ 2 Chinease")</f>
        <v>PvZ 2, PvZ 2 Chinease</v>
      </c>
      <c r="Y132" s="65" t="str">
        <f ca="1">IFERROR(__xludf.DUMMYFUNCTION("""COMPUTED_VALUE"""),"https://static.wikia.nocookie.net/plantsvszombies/images/4/48/Tumbleweed2.png/revision/latest?cb=20200512045045")</f>
        <v>https://static.wikia.nocookie.net/plantsvszombies/images/4/48/Tumbleweed2.png/revision/latest?cb=20200512045045</v>
      </c>
    </row>
    <row r="133" spans="1:25" x14ac:dyDescent="0.2">
      <c r="A133" s="64">
        <f ca="1">IFERROR(__xludf.DUMMYFUNCTION("""COMPUTED_VALUE"""),132)</f>
        <v>132</v>
      </c>
      <c r="B133" s="64" t="str">
        <f ca="1">IFERROR(__xludf.DUMMYFUNCTION("""COMPUTED_VALUE"""),"Olive Pit")</f>
        <v>Olive Pit</v>
      </c>
      <c r="C133" s="64" t="str">
        <f ca="1">IFERROR(__xludf.DUMMYFUNCTION("""COMPUTED_VALUE"""),"Carfosso de Oliveira")</f>
        <v>Carfosso de Oliveira</v>
      </c>
      <c r="D133" s="64" t="str">
        <f ca="1">IFERROR(__xludf.DUMMYFUNCTION("""COMPUTED_VALUE"""),"Refrea")</f>
        <v>Refrea</v>
      </c>
      <c r="E133" s="64" t="str">
        <f ca="1">IFERROR(__xludf.DUMMYFUNCTION("""COMPUTED_VALUE"""),"Perfura o solo, criando um fosso que consumindo zumbis que passam por ele.")</f>
        <v>Perfura o solo, criando um fosso que consumindo zumbis que passam por ele.</v>
      </c>
      <c r="F133" s="64">
        <f ca="1">IFERROR(__xludf.DUMMYFUNCTION("""COMPUTED_VALUE"""),175)</f>
        <v>175</v>
      </c>
      <c r="G133" s="64">
        <f ca="1">IFERROR(__xludf.DUMMYFUNCTION("""COMPUTED_VALUE"""),1)</f>
        <v>1</v>
      </c>
      <c r="H133" s="64">
        <f ca="1">IFERROR(__xludf.DUMMYFUNCTION("""COMPUTED_VALUE"""),0)</f>
        <v>0</v>
      </c>
      <c r="I133" s="64">
        <f ca="1">IFERROR(__xludf.DUMMYFUNCTION("""COMPUTED_VALUE"""),7)</f>
        <v>7</v>
      </c>
      <c r="J133" s="64" t="str">
        <f ca="1">IFERROR(__xludf.DUMMYFUNCTION("""COMPUTED_VALUE"""),"Swallow a bunch of zombies, and spit out oil in the surrounding area.")</f>
        <v>Swallow a bunch of zombies, and spit out oil in the surrounding area.</v>
      </c>
      <c r="K133" s="64" t="str">
        <f ca="1">IFERROR(__xludf.DUMMYFUNCTION("""COMPUTED_VALUE"""),"Can swallow multiple zombies at a time")</f>
        <v>Can swallow multiple zombies at a time</v>
      </c>
      <c r="L133" s="64" t="str">
        <f ca="1">IFERROR(__xludf.DUMMYFUNCTION("""COMPUTED_VALUE"""),"Special - Spits out zombie-slowing olive oil")</f>
        <v>Special - Spits out zombie-slowing olive oil</v>
      </c>
      <c r="M133" s="64" t="b">
        <f ca="1">IFERROR(__xludf.DUMMYFUNCTION("""COMPUTED_VALUE"""),FALSE)</f>
        <v>0</v>
      </c>
      <c r="N133" s="64" t="b">
        <f ca="1">IFERROR(__xludf.DUMMYFUNCTION("""COMPUTED_VALUE"""),FALSE)</f>
        <v>0</v>
      </c>
      <c r="O133" s="64">
        <f ca="1">IFERROR(__xludf.DUMMYFUNCTION("""COMPUTED_VALUE"""),0)</f>
        <v>0</v>
      </c>
      <c r="P133" s="64" t="str">
        <f ca="1">IFERROR(__xludf.DUMMYFUNCTION("""COMPUTED_VALUE"""),"Mythical")</f>
        <v>Mythical</v>
      </c>
      <c r="Q133" s="64" t="str">
        <f ca="1">IFERROR(__xludf.DUMMYFUNCTION("""COMPUTED_VALUE"""),"grounded, control")</f>
        <v>grounded, control</v>
      </c>
      <c r="R133" s="64" t="str">
        <f ca="1">IFERROR(__xludf.DUMMYFUNCTION("""COMPUTED_VALUE"""),"Wood")</f>
        <v>Wood</v>
      </c>
      <c r="S133" s="64" t="str">
        <f ca="1">IFERROR(__xludf.DUMMYFUNCTION("""COMPUTED_VALUE"""),"Sementium")</f>
        <v>Sementium</v>
      </c>
      <c r="T133" s="64" t="str">
        <f ca="1">IFERROR(__xludf.DUMMYFUNCTION("""COMPUTED_VALUE"""),"None")</f>
        <v>None</v>
      </c>
      <c r="U133" s="64" t="str">
        <f ca="1">IFERROR(__xludf.DUMMYFUNCTION("""COMPUTED_VALUE"""),"None")</f>
        <v>None</v>
      </c>
      <c r="V133" s="64" t="str">
        <f ca="1">IFERROR(__xludf.DUMMYFUNCTION("""COMPUTED_VALUE"""),"olivepit")</f>
        <v>olivepit</v>
      </c>
      <c r="W133" s="64" t="str">
        <f ca="1">IFERROR(__xludf.DUMMYFUNCTION("""COMPUTED_VALUE"""),"Special")</f>
        <v>Special</v>
      </c>
      <c r="X133" s="64" t="str">
        <f ca="1">IFERROR(__xludf.DUMMYFUNCTION("""COMPUTED_VALUE"""),"PvZ 2, PvZ 2 Chinease")</f>
        <v>PvZ 2, PvZ 2 Chinease</v>
      </c>
      <c r="Y133" s="65" t="str">
        <f ca="1">IFERROR(__xludf.DUMMYFUNCTION("""COMPUTED_VALUE"""),"https://static.wikia.nocookie.net/plantsvszombies/images/5/54/Olive_Pit2.png/revision/latest?cb=20240907001418")</f>
        <v>https://static.wikia.nocookie.net/plantsvszombies/images/5/54/Olive_Pit2.png/revision/latest?cb=20240907001418</v>
      </c>
    </row>
    <row r="134" spans="1:25" x14ac:dyDescent="0.2">
      <c r="A134" s="64">
        <f ca="1">IFERROR(__xludf.DUMMYFUNCTION("""COMPUTED_VALUE"""),133)</f>
        <v>133</v>
      </c>
      <c r="B134" s="64" t="str">
        <f ca="1">IFERROR(__xludf.DUMMYFUNCTION("""COMPUTED_VALUE"""),"Puffball")</f>
        <v>Puffball</v>
      </c>
      <c r="C134" s="64" t="str">
        <f ca="1">IFERROR(__xludf.DUMMYFUNCTION("""COMPUTED_VALUE"""),"Soprobola")</f>
        <v>Soprobola</v>
      </c>
      <c r="D134" s="64" t="str">
        <f ca="1">IFERROR(__xludf.DUMMYFUNCTION("""COMPUTED_VALUE"""),"Envenenada")</f>
        <v>Envenenada</v>
      </c>
      <c r="E134" s="64" t="str">
        <f ca="1">IFERROR(__xludf.DUMMYFUNCTION("""COMPUTED_VALUE"""),"Explode paralizando e envenenando os zumbis próximos.")</f>
        <v>Explode paralizando e envenenando os zumbis próximos.</v>
      </c>
      <c r="F134" s="64">
        <f ca="1">IFERROR(__xludf.DUMMYFUNCTION("""COMPUTED_VALUE"""),150)</f>
        <v>150</v>
      </c>
      <c r="G134" s="64">
        <f ca="1">IFERROR(__xludf.DUMMYFUNCTION("""COMPUTED_VALUE"""),1)</f>
        <v>1</v>
      </c>
      <c r="H134" s="64">
        <f ca="1">IFERROR(__xludf.DUMMYFUNCTION("""COMPUTED_VALUE"""),50)</f>
        <v>50</v>
      </c>
      <c r="I134" s="64">
        <f ca="1">IFERROR(__xludf.DUMMYFUNCTION("""COMPUTED_VALUE"""),20)</f>
        <v>20</v>
      </c>
      <c r="J134" s="64" t="str">
        <f ca="1">IFERROR(__xludf.DUMMYFUNCTION("""COMPUTED_VALUE"""),"No Plant Food effect")</f>
        <v>No Plant Food effect</v>
      </c>
      <c r="K134" s="64" t="str">
        <f ca="1">IFERROR(__xludf.DUMMYFUNCTION("""COMPUTED_VALUE"""),"Repeated Puffball explosions add to the poison")</f>
        <v>Repeated Puffball explosions add to the poison</v>
      </c>
      <c r="L134" s="64"/>
      <c r="M134" s="64" t="b">
        <f ca="1">IFERROR(__xludf.DUMMYFUNCTION("""COMPUTED_VALUE"""),TRUE)</f>
        <v>1</v>
      </c>
      <c r="N134" s="64" t="b">
        <f ca="1">IFERROR(__xludf.DUMMYFUNCTION("""COMPUTED_VALUE"""),TRUE)</f>
        <v>1</v>
      </c>
      <c r="O134" s="64">
        <f ca="1">IFERROR(__xludf.DUMMYFUNCTION("""COMPUTED_VALUE"""),0)</f>
        <v>0</v>
      </c>
      <c r="P134" s="64" t="str">
        <f ca="1">IFERROR(__xludf.DUMMYFUNCTION("""COMPUTED_VALUE"""),"Rare")</f>
        <v>Rare</v>
      </c>
      <c r="Q134" s="64" t="str">
        <f ca="1">IFERROR(__xludf.DUMMYFUNCTION("""COMPUTED_VALUE"""),"area-effect, poison")</f>
        <v>area-effect, poison</v>
      </c>
      <c r="R134" s="64" t="str">
        <f ca="1">IFERROR(__xludf.DUMMYFUNCTION("""COMPUTED_VALUE"""),"Murshroom")</f>
        <v>Murshroom</v>
      </c>
      <c r="S134" s="64" t="str">
        <f ca="1">IFERROR(__xludf.DUMMYFUNCTION("""COMPUTED_VALUE"""),"Sementium")</f>
        <v>Sementium</v>
      </c>
      <c r="T134" s="64" t="str">
        <f ca="1">IFERROR(__xludf.DUMMYFUNCTION("""COMPUTED_VALUE"""),"None")</f>
        <v>None</v>
      </c>
      <c r="U134" s="64" t="str">
        <f ca="1">IFERROR(__xludf.DUMMYFUNCTION("""COMPUTED_VALUE"""),"None")</f>
        <v>None</v>
      </c>
      <c r="V134" s="64" t="str">
        <f ca="1">IFERROR(__xludf.DUMMYFUNCTION("""COMPUTED_VALUE"""),"puffball")</f>
        <v>puffball</v>
      </c>
      <c r="W134" s="64" t="str">
        <f ca="1">IFERROR(__xludf.DUMMYFUNCTION("""COMPUTED_VALUE"""),"Special")</f>
        <v>Special</v>
      </c>
      <c r="X134" s="64" t="str">
        <f ca="1">IFERROR(__xludf.DUMMYFUNCTION("""COMPUTED_VALUE"""),"PvZ 2")</f>
        <v>PvZ 2</v>
      </c>
      <c r="Y134" s="65" t="str">
        <f ca="1">IFERROR(__xludf.DUMMYFUNCTION("""COMPUTED_VALUE"""),"https://static.wikia.nocookie.net/plantsvszombies/images/f/f8/Puffball2.png/revision/latest?cb=20200627015218")</f>
        <v>https://static.wikia.nocookie.net/plantsvszombies/images/f/f8/Puffball2.png/revision/latest?cb=20200627015218</v>
      </c>
    </row>
    <row r="135" spans="1:25" x14ac:dyDescent="0.2">
      <c r="A135" s="64">
        <f ca="1">IFERROR(__xludf.DUMMYFUNCTION("""COMPUTED_VALUE"""),134)</f>
        <v>134</v>
      </c>
      <c r="B135" s="64" t="str">
        <f ca="1">IFERROR(__xludf.DUMMYFUNCTION("""COMPUTED_VALUE"""),"Explode-O-Vine")</f>
        <v>Explode-O-Vine</v>
      </c>
      <c r="C135" s="64" t="str">
        <f ca="1">IFERROR(__xludf.DUMMYFUNCTION("""COMPUTED_VALUE"""),"Vinha Explosiva")</f>
        <v>Vinha Explosiva</v>
      </c>
      <c r="D135" s="64" t="str">
        <f ca="1">IFERROR(__xludf.DUMMYFUNCTION("""COMPUTED_VALUE"""),"Bombarda")</f>
        <v>Bombarda</v>
      </c>
      <c r="E135" s="64" t="str">
        <f ca="1">IFERROR(__xludf.DUMMYFUNCTION("""COMPUTED_VALUE"""),"Pode ser plantada com outra planta para fornece-la mais defesa. Além disso, gera uma explosão quando é plantado e quando é comido.")</f>
        <v>Pode ser plantada com outra planta para fornece-la mais defesa. Além disso, gera uma explosão quando é plantado e quando é comido.</v>
      </c>
      <c r="F135" s="64">
        <f ca="1">IFERROR(__xludf.DUMMYFUNCTION("""COMPUTED_VALUE"""),150)</f>
        <v>150</v>
      </c>
      <c r="G135" s="64">
        <f ca="1">IFERROR(__xludf.DUMMYFUNCTION("""COMPUTED_VALUE"""),1500)</f>
        <v>1500</v>
      </c>
      <c r="H135" s="64">
        <f ca="1">IFERROR(__xludf.DUMMYFUNCTION("""COMPUTED_VALUE"""),1800)</f>
        <v>1800</v>
      </c>
      <c r="I135" s="64">
        <f ca="1">IFERROR(__xludf.DUMMYFUNCTION("""COMPUTED_VALUE"""),10)</f>
        <v>10</v>
      </c>
      <c r="J135" s="64" t="str">
        <f ca="1">IFERROR(__xludf.DUMMYFUNCTION("""COMPUTED_VALUE"""),"Explode dealing damage to nearby zombies and gain armor. If the armor is destroyed, the armor explode.")</f>
        <v>Explode dealing damage to nearby zombies and gain armor. If the armor is destroyed, the armor explode.</v>
      </c>
      <c r="K135" s="64" t="str">
        <f ca="1">IFERROR(__xludf.DUMMYFUNCTION("""COMPUTED_VALUE"""),"Can be planted on top of non-vine plants")</f>
        <v>Can be planted on top of non-vine plants</v>
      </c>
      <c r="L135" s="64"/>
      <c r="M135" s="64" t="b">
        <f ca="1">IFERROR(__xludf.DUMMYFUNCTION("""COMPUTED_VALUE"""),FALSE)</f>
        <v>0</v>
      </c>
      <c r="N135" s="64" t="b">
        <f ca="1">IFERROR(__xludf.DUMMYFUNCTION("""COMPUTED_VALUE"""),FALSE)</f>
        <v>0</v>
      </c>
      <c r="O135" s="64">
        <f ca="1">IFERROR(__xludf.DUMMYFUNCTION("""COMPUTED_VALUE"""),0)</f>
        <v>0</v>
      </c>
      <c r="P135" s="64" t="str">
        <f ca="1">IFERROR(__xludf.DUMMYFUNCTION("""COMPUTED_VALUE"""),"Mythical")</f>
        <v>Mythical</v>
      </c>
      <c r="Q135" s="64" t="str">
        <f ca="1">IFERROR(__xludf.DUMMYFUNCTION("""COMPUTED_VALUE"""),"vine, area-effect")</f>
        <v>vine, area-effect</v>
      </c>
      <c r="R135" s="64" t="str">
        <f ca="1">IFERROR(__xludf.DUMMYFUNCTION("""COMPUTED_VALUE"""),"Leaf")</f>
        <v>Leaf</v>
      </c>
      <c r="S135" s="64" t="str">
        <f ca="1">IFERROR(__xludf.DUMMYFUNCTION("""COMPUTED_VALUE"""),"Sementium")</f>
        <v>Sementium</v>
      </c>
      <c r="T135" s="64" t="str">
        <f ca="1">IFERROR(__xludf.DUMMYFUNCTION("""COMPUTED_VALUE"""),"None")</f>
        <v>None</v>
      </c>
      <c r="U135" s="64" t="str">
        <f ca="1">IFERROR(__xludf.DUMMYFUNCTION("""COMPUTED_VALUE"""),"None")</f>
        <v>None</v>
      </c>
      <c r="V135" s="64" t="str">
        <f ca="1">IFERROR(__xludf.DUMMYFUNCTION("""COMPUTED_VALUE"""),"explodeovine")</f>
        <v>explodeovine</v>
      </c>
      <c r="W135" s="64" t="str">
        <f ca="1">IFERROR(__xludf.DUMMYFUNCTION("""COMPUTED_VALUE"""),"Vanguard")</f>
        <v>Vanguard</v>
      </c>
      <c r="X135" s="64" t="str">
        <f ca="1">IFERROR(__xludf.DUMMYFUNCTION("""COMPUTED_VALUE"""),"PvZ 2")</f>
        <v>PvZ 2</v>
      </c>
      <c r="Y135" s="65" t="str">
        <f ca="1">IFERROR(__xludf.DUMMYFUNCTION("""COMPUTED_VALUE"""),"https://static.wikia.nocookie.net/plantsvszombies/images/5/54/Explode-o-Vine2.png/revision/latest?cb=20200803222649")</f>
        <v>https://static.wikia.nocookie.net/plantsvszombies/images/5/54/Explode-o-Vine2.png/revision/latest?cb=20200803222649</v>
      </c>
    </row>
    <row r="136" spans="1:25" x14ac:dyDescent="0.2">
      <c r="A136" s="64">
        <f ca="1">IFERROR(__xludf.DUMMYFUNCTION("""COMPUTED_VALUE"""),135)</f>
        <v>135</v>
      </c>
      <c r="B136" s="64" t="str">
        <f ca="1">IFERROR(__xludf.DUMMYFUNCTION("""COMPUTED_VALUE"""),"Murkadamia Nut")</f>
        <v>Murkadamia Nut</v>
      </c>
      <c r="C136" s="64" t="str">
        <f ca="1">IFERROR(__xludf.DUMMYFUNCTION("""COMPUTED_VALUE"""),"Macabradâmia")</f>
        <v>Macabradâmia</v>
      </c>
      <c r="D136" s="64" t="str">
        <f ca="1">IFERROR(__xludf.DUMMYFUNCTION("""COMPUTED_VALUE"""),"Sombra")</f>
        <v>Sombra</v>
      </c>
      <c r="E136" s="64" t="str">
        <f ca="1">IFERROR(__xludf.DUMMYFUNCTION("""COMPUTED_VALUE"""),"Uma planta que fornece proteção, caso esteja energizada infunde uma geleia que machuca os zumbis e se regenera com o tempo.")</f>
        <v>Uma planta que fornece proteção, caso esteja energizada infunde uma geleia que machuca os zumbis e se regenera com o tempo.</v>
      </c>
      <c r="F136" s="64">
        <f ca="1">IFERROR(__xludf.DUMMYFUNCTION("""COMPUTED_VALUE"""),100)</f>
        <v>100</v>
      </c>
      <c r="G136" s="64">
        <f ca="1">IFERROR(__xludf.DUMMYFUNCTION("""COMPUTED_VALUE"""),2500)</f>
        <v>2500</v>
      </c>
      <c r="H136" s="64">
        <f ca="1">IFERROR(__xludf.DUMMYFUNCTION("""COMPUTED_VALUE"""),20)</f>
        <v>20</v>
      </c>
      <c r="I136" s="64">
        <f ca="1">IFERROR(__xludf.DUMMYFUNCTION("""COMPUTED_VALUE"""),10)</f>
        <v>10</v>
      </c>
      <c r="J136" s="64" t="str">
        <f ca="1">IFERROR(__xludf.DUMMYFUNCTION("""COMPUTED_VALUE"""),"Gain a shield that can absorb a small amount of damage.")</f>
        <v>Gain a shield that can absorb a small amount of damage.</v>
      </c>
      <c r="K136" s="64" t="str">
        <f ca="1">IFERROR(__xludf.DUMMYFUNCTION("""COMPUTED_VALUE"""),"Damaged murk regrows over time")</f>
        <v>Damaged murk regrows over time</v>
      </c>
      <c r="L136" s="64"/>
      <c r="M136" s="64" t="b">
        <f ca="1">IFERROR(__xludf.DUMMYFUNCTION("""COMPUTED_VALUE"""),FALSE)</f>
        <v>0</v>
      </c>
      <c r="N136" s="64" t="b">
        <f ca="1">IFERROR(__xludf.DUMMYFUNCTION("""COMPUTED_VALUE"""),FALSE)</f>
        <v>0</v>
      </c>
      <c r="O136" s="64">
        <f ca="1">IFERROR(__xludf.DUMMYFUNCTION("""COMPUTED_VALUE"""),0)</f>
        <v>0</v>
      </c>
      <c r="P136" s="64" t="str">
        <f ca="1">IFERROR(__xludf.DUMMYFUNCTION("""COMPUTED_VALUE"""),"Epic")</f>
        <v>Epic</v>
      </c>
      <c r="Q136" s="64" t="str">
        <f ca="1">IFERROR(__xludf.DUMMYFUNCTION("""COMPUTED_VALUE"""),"counter, spikes")</f>
        <v>counter, spikes</v>
      </c>
      <c r="R136" s="64" t="str">
        <f ca="1">IFERROR(__xludf.DUMMYFUNCTION("""COMPUTED_VALUE"""),"Nut")</f>
        <v>Nut</v>
      </c>
      <c r="S136" s="64" t="str">
        <f ca="1">IFERROR(__xludf.DUMMYFUNCTION("""COMPUTED_VALUE"""),"Sementium")</f>
        <v>Sementium</v>
      </c>
      <c r="T136" s="64" t="str">
        <f ca="1">IFERROR(__xludf.DUMMYFUNCTION("""COMPUTED_VALUE"""),"1500")</f>
        <v>1500</v>
      </c>
      <c r="U136" s="64" t="str">
        <f ca="1">IFERROR(__xludf.DUMMYFUNCTION("""COMPUTED_VALUE"""),"0")</f>
        <v>0</v>
      </c>
      <c r="V136" s="64" t="str">
        <f ca="1">IFERROR(__xludf.DUMMYFUNCTION("""COMPUTED_VALUE"""),"murkadamia")</f>
        <v>murkadamia</v>
      </c>
      <c r="W136" s="64" t="str">
        <f ca="1">IFERROR(__xludf.DUMMYFUNCTION("""COMPUTED_VALUE"""),"Tough")</f>
        <v>Tough</v>
      </c>
      <c r="X136" s="64" t="str">
        <f ca="1">IFERROR(__xludf.DUMMYFUNCTION("""COMPUTED_VALUE"""),"PvZ 2")</f>
        <v>PvZ 2</v>
      </c>
      <c r="Y136" s="65" t="str">
        <f ca="1">IFERROR(__xludf.DUMMYFUNCTION("""COMPUTED_VALUE"""),"https://static.wikia.nocookie.net/plantsvszombies/images/e/e6/Murkadamia_Nut2.png/revision/latest?cb=20220219133005")</f>
        <v>https://static.wikia.nocookie.net/plantsvszombies/images/e/e6/Murkadamia_Nut2.png/revision/latest?cb=20220219133005</v>
      </c>
    </row>
    <row r="137" spans="1:25" x14ac:dyDescent="0.2">
      <c r="A137" s="64">
        <f ca="1">IFERROR(__xludf.DUMMYFUNCTION("""COMPUTED_VALUE"""),136)</f>
        <v>136</v>
      </c>
      <c r="B137" s="64" t="str">
        <f ca="1">IFERROR(__xludf.DUMMYFUNCTION("""COMPUTED_VALUE"""),"Turkey-pult")</f>
        <v>Turkey-pult</v>
      </c>
      <c r="C137" s="64" t="str">
        <f ca="1">IFERROR(__xludf.DUMMYFUNCTION("""COMPUTED_VALUE"""),"Peru-pulta")</f>
        <v>Peru-pulta</v>
      </c>
      <c r="D137" s="64" t="str">
        <f ca="1">IFERROR(__xludf.DUMMYFUNCTION("""COMPUTED_VALUE"""),"Arma")</f>
        <v>Arma</v>
      </c>
      <c r="E137" s="64" t="str">
        <f ca="1">IFERROR(__xludf.DUMMYFUNCTION("""COMPUTED_VALUE"""),"Lança perus de tofu em parábola que avançam e atacam os zumbis.")</f>
        <v>Lança perus de tofu em parábola que avançam e atacam os zumbis.</v>
      </c>
      <c r="F137" s="64">
        <f ca="1">IFERROR(__xludf.DUMMYFUNCTION("""COMPUTED_VALUE"""),150)</f>
        <v>150</v>
      </c>
      <c r="G137" s="64">
        <f ca="1">IFERROR(__xludf.DUMMYFUNCTION("""COMPUTED_VALUE"""),300)</f>
        <v>300</v>
      </c>
      <c r="H137" s="64">
        <f ca="1">IFERROR(__xludf.DUMMYFUNCTION("""COMPUTED_VALUE"""),10)</f>
        <v>10</v>
      </c>
      <c r="I137" s="64">
        <f ca="1">IFERROR(__xludf.DUMMYFUNCTION("""COMPUTED_VALUE"""),5)</f>
        <v>5</v>
      </c>
      <c r="J137" s="64" t="str">
        <f ca="1">IFERROR(__xludf.DUMMYFUNCTION("""COMPUTED_VALUE"""),"Lobs multiple pumpkin helmets for the tofu turkeys.")</f>
        <v>Lobs multiple pumpkin helmets for the tofu turkeys.</v>
      </c>
      <c r="K137" s="64"/>
      <c r="L137" s="64"/>
      <c r="M137" s="64" t="b">
        <f ca="1">IFERROR(__xludf.DUMMYFUNCTION("""COMPUTED_VALUE"""),FALSE)</f>
        <v>0</v>
      </c>
      <c r="N137" s="64" t="b">
        <f ca="1">IFERROR(__xludf.DUMMYFUNCTION("""COMPUTED_VALUE"""),FALSE)</f>
        <v>0</v>
      </c>
      <c r="O137" s="64">
        <f ca="1">IFERROR(__xludf.DUMMYFUNCTION("""COMPUTED_VALUE"""),0)</f>
        <v>0</v>
      </c>
      <c r="P137" s="64" t="str">
        <f ca="1">IFERROR(__xludf.DUMMYFUNCTION("""COMPUTED_VALUE"""),"Mythical")</f>
        <v>Mythical</v>
      </c>
      <c r="Q137" s="64" t="str">
        <f ca="1">IFERROR(__xludf.DUMMYFUNCTION("""COMPUTED_VALUE"""),"summon")</f>
        <v>summon</v>
      </c>
      <c r="R137" s="64" t="str">
        <f ca="1">IFERROR(__xludf.DUMMYFUNCTION("""COMPUTED_VALUE"""),"Leaf")</f>
        <v>Leaf</v>
      </c>
      <c r="S137" s="64" t="str">
        <f ca="1">IFERROR(__xludf.DUMMYFUNCTION("""COMPUTED_VALUE"""),"Sementium")</f>
        <v>Sementium</v>
      </c>
      <c r="T137" s="64" t="str">
        <f ca="1">IFERROR(__xludf.DUMMYFUNCTION("""COMPUTED_VALUE"""),"None")</f>
        <v>None</v>
      </c>
      <c r="U137" s="64" t="str">
        <f ca="1">IFERROR(__xludf.DUMMYFUNCTION("""COMPUTED_VALUE"""),"None")</f>
        <v>None</v>
      </c>
      <c r="V137" s="64" t="str">
        <f ca="1">IFERROR(__xludf.DUMMYFUNCTION("""COMPUTED_VALUE"""),"turkeypult")</f>
        <v>turkeypult</v>
      </c>
      <c r="W137" s="64" t="str">
        <f ca="1">IFERROR(__xludf.DUMMYFUNCTION("""COMPUTED_VALUE"""),"Ranged")</f>
        <v>Ranged</v>
      </c>
      <c r="X137" s="64" t="str">
        <f ca="1">IFERROR(__xludf.DUMMYFUNCTION("""COMPUTED_VALUE"""),"PvZ 2, PvZ 2 Chinease")</f>
        <v>PvZ 2, PvZ 2 Chinease</v>
      </c>
      <c r="Y137" s="65" t="str">
        <f ca="1">IFERROR(__xludf.DUMMYFUNCTION("""COMPUTED_VALUE"""),"https://static.wikia.nocookie.net/plantsvszombies/images/0/02/Turkey-pult2.png/revision/latest?cb=20200915155128")</f>
        <v>https://static.wikia.nocookie.net/plantsvszombies/images/0/02/Turkey-pult2.png/revision/latest?cb=20200915155128</v>
      </c>
    </row>
    <row r="138" spans="1:25" x14ac:dyDescent="0.2">
      <c r="A138" s="64">
        <f ca="1">IFERROR(__xludf.DUMMYFUNCTION("""COMPUTED_VALUE"""),137)</f>
        <v>137</v>
      </c>
      <c r="B138" s="64" t="str">
        <f ca="1">IFERROR(__xludf.DUMMYFUNCTION("""COMPUTED_VALUE"""),"Headbutter Lettuce")</f>
        <v>Headbutter Lettuce</v>
      </c>
      <c r="C138" s="64" t="str">
        <f ca="1">IFERROR(__xludf.DUMMYFUNCTION("""COMPUTED_VALUE"""),"Alface Amanteigada")</f>
        <v>Alface Amanteigada</v>
      </c>
      <c r="D138" s="64" t="str">
        <f ca="1">IFERROR(__xludf.DUMMYFUNCTION("""COMPUTED_VALUE"""),"Surra")</f>
        <v>Surra</v>
      </c>
      <c r="E138" s="64" t="str">
        <f ca="1">IFERROR(__xludf.DUMMYFUNCTION("""COMPUTED_VALUE"""),"Golpeia zumbis próximos, podendo amanteigar os zumbis.")</f>
        <v>Golpeia zumbis próximos, podendo amanteigar os zumbis.</v>
      </c>
      <c r="F138" s="64">
        <f ca="1">IFERROR(__xludf.DUMMYFUNCTION("""COMPUTED_VALUE"""),175)</f>
        <v>175</v>
      </c>
      <c r="G138" s="64">
        <f ca="1">IFERROR(__xludf.DUMMYFUNCTION("""COMPUTED_VALUE"""),900)</f>
        <v>900</v>
      </c>
      <c r="H138" s="64">
        <f ca="1">IFERROR(__xludf.DUMMYFUNCTION("""COMPUTED_VALUE"""),100)</f>
        <v>100</v>
      </c>
      <c r="I138" s="64">
        <f ca="1">IFERROR(__xludf.DUMMYFUNCTION("""COMPUTED_VALUE"""),7)</f>
        <v>7</v>
      </c>
      <c r="J138" s="64" t="str">
        <f ca="1">IFERROR(__xludf.DUMMYFUNCTION("""COMPUTED_VALUE"""),"Bashes and throws stunning butter at surrounding area zombies.")</f>
        <v>Bashes and throws stunning butter at surrounding area zombies.</v>
      </c>
      <c r="K138" s="64" t="str">
        <f ca="1">IFERROR(__xludf.DUMMYFUNCTION("""COMPUTED_VALUE"""),"Resists damage with high health")</f>
        <v>Resists damage with high health</v>
      </c>
      <c r="L138" s="64"/>
      <c r="M138" s="64" t="b">
        <f ca="1">IFERROR(__xludf.DUMMYFUNCTION("""COMPUTED_VALUE"""),FALSE)</f>
        <v>0</v>
      </c>
      <c r="N138" s="64" t="b">
        <f ca="1">IFERROR(__xludf.DUMMYFUNCTION("""COMPUTED_VALUE"""),FALSE)</f>
        <v>0</v>
      </c>
      <c r="O138" s="64">
        <f ca="1">IFERROR(__xludf.DUMMYFUNCTION("""COMPUTED_VALUE"""),0)</f>
        <v>0</v>
      </c>
      <c r="P138" s="64" t="str">
        <f ca="1">IFERROR(__xludf.DUMMYFUNCTION("""COMPUTED_VALUE"""),"Mythical")</f>
        <v>Mythical</v>
      </c>
      <c r="Q138" s="64" t="str">
        <f ca="1">IFERROR(__xludf.DUMMYFUNCTION("""COMPUTED_VALUE"""),"attack_backwards, butter")</f>
        <v>attack_backwards, butter</v>
      </c>
      <c r="R138" s="64" t="str">
        <f ca="1">IFERROR(__xludf.DUMMYFUNCTION("""COMPUTED_VALUE"""),"Leaf")</f>
        <v>Leaf</v>
      </c>
      <c r="S138" s="64" t="str">
        <f ca="1">IFERROR(__xludf.DUMMYFUNCTION("""COMPUTED_VALUE"""),"Sementium")</f>
        <v>Sementium</v>
      </c>
      <c r="T138" s="64" t="str">
        <f ca="1">IFERROR(__xludf.DUMMYFUNCTION("""COMPUTED_VALUE"""),"None")</f>
        <v>None</v>
      </c>
      <c r="U138" s="64" t="str">
        <f ca="1">IFERROR(__xludf.DUMMYFUNCTION("""COMPUTED_VALUE"""),"None")</f>
        <v>None</v>
      </c>
      <c r="V138" s="64" t="str">
        <f ca="1">IFERROR(__xludf.DUMMYFUNCTION("""COMPUTED_VALUE"""),"headbutter")</f>
        <v>headbutter</v>
      </c>
      <c r="W138" s="64" t="str">
        <f ca="1">IFERROR(__xludf.DUMMYFUNCTION("""COMPUTED_VALUE"""),"Vanguard")</f>
        <v>Vanguard</v>
      </c>
      <c r="X138" s="64" t="str">
        <f ca="1">IFERROR(__xludf.DUMMYFUNCTION("""COMPUTED_VALUE"""),"PvZ 2, PvZ 2 Chinease")</f>
        <v>PvZ 2, PvZ 2 Chinease</v>
      </c>
      <c r="Y138" s="65" t="str">
        <f ca="1">IFERROR(__xludf.DUMMYFUNCTION("""COMPUTED_VALUE"""),"https://static.wikia.nocookie.net/plantsvszombies/images/2/2d/Headbutter_Lettuce2.png/revision/latest?cb=20201030054125")</f>
        <v>https://static.wikia.nocookie.net/plantsvszombies/images/2/2d/Headbutter_Lettuce2.png/revision/latest?cb=20201030054125</v>
      </c>
    </row>
    <row r="139" spans="1:25" x14ac:dyDescent="0.2">
      <c r="A139" s="64">
        <f ca="1">IFERROR(__xludf.DUMMYFUNCTION("""COMPUTED_VALUE"""),138)</f>
        <v>138</v>
      </c>
      <c r="B139" s="64" t="str">
        <f ca="1">IFERROR(__xludf.DUMMYFUNCTION("""COMPUTED_VALUE"""),"Boingsetta")</f>
        <v>Boingsetta</v>
      </c>
      <c r="C139" s="64" t="str">
        <f ca="1">IFERROR(__xludf.DUMMYFUNCTION("""COMPUTED_VALUE"""),"Boingsétia")</f>
        <v>Boingsétia</v>
      </c>
      <c r="D139" s="64" t="str">
        <f ca="1">IFERROR(__xludf.DUMMYFUNCTION("""COMPUTED_VALUE"""),"Resfriada")</f>
        <v>Resfriada</v>
      </c>
      <c r="E139" s="64" t="str">
        <f ca="1">IFERROR(__xludf.DUMMYFUNCTION("""COMPUTED_VALUE"""),"Golpeia o chão causando dano poderoso em estruturas, e empurrando e resfriando os zumbis.")</f>
        <v>Golpeia o chão causando dano poderoso em estruturas, e empurrando e resfriando os zumbis.</v>
      </c>
      <c r="F139" s="64">
        <f ca="1">IFERROR(__xludf.DUMMYFUNCTION("""COMPUTED_VALUE"""),150)</f>
        <v>150</v>
      </c>
      <c r="G139" s="64">
        <f ca="1">IFERROR(__xludf.DUMMYFUNCTION("""COMPUTED_VALUE"""),300)</f>
        <v>300</v>
      </c>
      <c r="H139" s="64">
        <f ca="1">IFERROR(__xludf.DUMMYFUNCTION("""COMPUTED_VALUE"""),50)</f>
        <v>50</v>
      </c>
      <c r="I139" s="64">
        <f ca="1">IFERROR(__xludf.DUMMYFUNCTION("""COMPUTED_VALUE"""),30)</f>
        <v>30</v>
      </c>
      <c r="J139" s="64" t="str">
        <f ca="1">IFERROR(__xludf.DUMMYFUNCTION("""COMPUTED_VALUE"""),"Deal heavy damage to all obstacles and slight damage to all zombies, knocking them back and chilling them for a short duration.")</f>
        <v>Deal heavy damage to all obstacles and slight damage to all zombies, knocking them back and chilling them for a short duration.</v>
      </c>
      <c r="K139" s="64" t="str">
        <f ca="1">IFERROR(__xludf.DUMMYFUNCTION("""COMPUTED_VALUE"""),"Heavily damages octopuses, surfboards &amp; gravestones. Destroys chickens &amp; weasels")</f>
        <v>Heavily damages octopuses, surfboards &amp; gravestones. Destroys chickens &amp; weasels</v>
      </c>
      <c r="L139" s="64" t="str">
        <f ca="1">IFERROR(__xludf.DUMMYFUNCTION("""COMPUTED_VALUE"""),"Special - Affects whole board on planting, single lane afterward")</f>
        <v>Special - Affects whole board on planting, single lane afterward</v>
      </c>
      <c r="M139" s="64" t="b">
        <f ca="1">IFERROR(__xludf.DUMMYFUNCTION("""COMPUTED_VALUE"""),FALSE)</f>
        <v>0</v>
      </c>
      <c r="N139" s="64" t="b">
        <f ca="1">IFERROR(__xludf.DUMMYFUNCTION("""COMPUTED_VALUE"""),FALSE)</f>
        <v>0</v>
      </c>
      <c r="O139" s="64">
        <f ca="1">IFERROR(__xludf.DUMMYFUNCTION("""COMPUTED_VALUE"""),0)</f>
        <v>0</v>
      </c>
      <c r="P139" s="64" t="str">
        <f ca="1">IFERROR(__xludf.DUMMYFUNCTION("""COMPUTED_VALUE"""),"Mythical")</f>
        <v>Mythical</v>
      </c>
      <c r="Q139" s="64" t="str">
        <f ca="1">IFERROR(__xludf.DUMMYFUNCTION("""COMPUTED_VALUE"""),"chilling")</f>
        <v>chilling</v>
      </c>
      <c r="R139" s="64" t="str">
        <f ca="1">IFERROR(__xludf.DUMMYFUNCTION("""COMPUTED_VALUE"""),"Flower")</f>
        <v>Flower</v>
      </c>
      <c r="S139" s="64" t="str">
        <f ca="1">IFERROR(__xludf.DUMMYFUNCTION("""COMPUTED_VALUE"""),"Sementium")</f>
        <v>Sementium</v>
      </c>
      <c r="T139" s="64" t="str">
        <f ca="1">IFERROR(__xludf.DUMMYFUNCTION("""COMPUTED_VALUE"""),"None")</f>
        <v>None</v>
      </c>
      <c r="U139" s="64" t="str">
        <f ca="1">IFERROR(__xludf.DUMMYFUNCTION("""COMPUTED_VALUE"""),"1000")</f>
        <v>1000</v>
      </c>
      <c r="V139" s="64" t="str">
        <f ca="1">IFERROR(__xludf.DUMMYFUNCTION("""COMPUTED_VALUE"""),"boingsetta")</f>
        <v>boingsetta</v>
      </c>
      <c r="W139" s="64" t="str">
        <f ca="1">IFERROR(__xludf.DUMMYFUNCTION("""COMPUTED_VALUE"""),"Special")</f>
        <v>Special</v>
      </c>
      <c r="X139" s="64" t="str">
        <f ca="1">IFERROR(__xludf.DUMMYFUNCTION("""COMPUTED_VALUE"""),"PvZ 2")</f>
        <v>PvZ 2</v>
      </c>
      <c r="Y139" s="65" t="str">
        <f ca="1">IFERROR(__xludf.DUMMYFUNCTION("""COMPUTED_VALUE"""),"https://static.wikia.nocookie.net/plantsvszombies/images/3/36/Boingsetta2.png/revision/latest?cb=20201030053226")</f>
        <v>https://static.wikia.nocookie.net/plantsvszombies/images/3/36/Boingsetta2.png/revision/latest?cb=20201030053226</v>
      </c>
    </row>
    <row r="140" spans="1:25" x14ac:dyDescent="0.2">
      <c r="A140" s="64">
        <f ca="1">IFERROR(__xludf.DUMMYFUNCTION("""COMPUTED_VALUE"""),139)</f>
        <v>139</v>
      </c>
      <c r="B140" s="64" t="str">
        <f ca="1">IFERROR(__xludf.DUMMYFUNCTION("""COMPUTED_VALUE"""),"Stickybomb Rice")</f>
        <v>Stickybomb Rice</v>
      </c>
      <c r="C140" s="64" t="str">
        <f ca="1">IFERROR(__xludf.DUMMYFUNCTION("""COMPUTED_VALUE"""),"Bombarroz Grudenta")</f>
        <v>Bombarroz Grudenta</v>
      </c>
      <c r="D140" s="64" t="str">
        <f ca="1">IFERROR(__xludf.DUMMYFUNCTION("""COMPUTED_VALUE"""),"Arma")</f>
        <v>Arma</v>
      </c>
      <c r="E140" s="64" t="str">
        <f ca="1">IFERROR(__xludf.DUMMYFUNCTION("""COMPUTED_VALUE"""),"Ataca os zumbis em parábola com bombas grudentas com temporizadores.")</f>
        <v>Ataca os zumbis em parábola com bombas grudentas com temporizadores.</v>
      </c>
      <c r="F140" s="64">
        <f ca="1">IFERROR(__xludf.DUMMYFUNCTION("""COMPUTED_VALUE"""),255)</f>
        <v>255</v>
      </c>
      <c r="G140" s="64">
        <f ca="1">IFERROR(__xludf.DUMMYFUNCTION("""COMPUTED_VALUE"""),300)</f>
        <v>300</v>
      </c>
      <c r="H140" s="64">
        <f ca="1">IFERROR(__xludf.DUMMYFUNCTION("""COMPUTED_VALUE"""),40)</f>
        <v>40</v>
      </c>
      <c r="I140" s="64">
        <f ca="1">IFERROR(__xludf.DUMMYFUNCTION("""COMPUTED_VALUE"""),10)</f>
        <v>10</v>
      </c>
      <c r="J140" s="64" t="str">
        <f ca="1">IFERROR(__xludf.DUMMYFUNCTION("""COMPUTED_VALUE"""),"Lobs a sticky bomb at every zombie on the lawn.")</f>
        <v>Lobs a sticky bomb at every zombie on the lawn.</v>
      </c>
      <c r="K140" s="64"/>
      <c r="L140" s="64" t="str">
        <f ca="1">IFERROR(__xludf.DUMMYFUNCTION("""COMPUTED_VALUE"""),"Special - Exploding sticky bombs trigger other sticky bombs
")</f>
        <v xml:space="preserve">Special - Exploding sticky bombs trigger other sticky bombs
</v>
      </c>
      <c r="M140" s="64" t="b">
        <f ca="1">IFERROR(__xludf.DUMMYFUNCTION("""COMPUTED_VALUE"""),FALSE)</f>
        <v>0</v>
      </c>
      <c r="N140" s="64" t="b">
        <f ca="1">IFERROR(__xludf.DUMMYFUNCTION("""COMPUTED_VALUE"""),FALSE)</f>
        <v>0</v>
      </c>
      <c r="O140" s="64">
        <f ca="1">IFERROR(__xludf.DUMMYFUNCTION("""COMPUTED_VALUE"""),0)</f>
        <v>0</v>
      </c>
      <c r="P140" s="64" t="str">
        <f ca="1">IFERROR(__xludf.DUMMYFUNCTION("""COMPUTED_VALUE"""),"Epic")</f>
        <v>Epic</v>
      </c>
      <c r="Q140" s="64" t="str">
        <f ca="1">IFERROR(__xludf.DUMMYFUNCTION("""COMPUTED_VALUE"""),"explosion")</f>
        <v>explosion</v>
      </c>
      <c r="R140" s="64" t="str">
        <f ca="1">IFERROR(__xludf.DUMMYFUNCTION("""COMPUTED_VALUE"""),"Vegetable")</f>
        <v>Vegetable</v>
      </c>
      <c r="S140" s="64" t="str">
        <f ca="1">IFERROR(__xludf.DUMMYFUNCTION("""COMPUTED_VALUE"""),"Sementium")</f>
        <v>Sementium</v>
      </c>
      <c r="T140" s="64" t="str">
        <f ca="1">IFERROR(__xludf.DUMMYFUNCTION("""COMPUTED_VALUE"""),"None")</f>
        <v>None</v>
      </c>
      <c r="U140" s="64" t="str">
        <f ca="1">IFERROR(__xludf.DUMMYFUNCTION("""COMPUTED_VALUE"""),"None")</f>
        <v>None</v>
      </c>
      <c r="V140" s="64" t="str">
        <f ca="1">IFERROR(__xludf.DUMMYFUNCTION("""COMPUTED_VALUE"""),"stickybombrice")</f>
        <v>stickybombrice</v>
      </c>
      <c r="W140" s="64" t="str">
        <f ca="1">IFERROR(__xludf.DUMMYFUNCTION("""COMPUTED_VALUE"""),"Ranged")</f>
        <v>Ranged</v>
      </c>
      <c r="X140" s="64" t="str">
        <f ca="1">IFERROR(__xludf.DUMMYFUNCTION("""COMPUTED_VALUE"""),"PvZ 2, PvZ 2 Chinease")</f>
        <v>PvZ 2, PvZ 2 Chinease</v>
      </c>
      <c r="Y140" s="65" t="str">
        <f ca="1">IFERROR(__xludf.DUMMYFUNCTION("""COMPUTED_VALUE"""),"https://static.wikia.nocookie.net/plantsvszombies/images/f/f5/Stickybomb_Rice2.png/revision/latest?cb=20220219132542")</f>
        <v>https://static.wikia.nocookie.net/plantsvszombies/images/f/f5/Stickybomb_Rice2.png/revision/latest?cb=20220219132542</v>
      </c>
    </row>
    <row r="141" spans="1:25" x14ac:dyDescent="0.2">
      <c r="A141" s="64">
        <f ca="1">IFERROR(__xludf.DUMMYFUNCTION("""COMPUTED_VALUE"""),140)</f>
        <v>140</v>
      </c>
      <c r="B141" s="64" t="str">
        <f ca="1">IFERROR(__xludf.DUMMYFUNCTION("""COMPUTED_VALUE"""),"Hocus Crocus")</f>
        <v>Hocus Crocus</v>
      </c>
      <c r="C141" s="64" t="str">
        <f ca="1">IFERROR(__xludf.DUMMYFUNCTION("""COMPUTED_VALUE"""),"Abracaflora")</f>
        <v>Abracaflora</v>
      </c>
      <c r="D141" s="64" t="str">
        <f ca="1">IFERROR(__xludf.DUMMYFUNCTION("""COMPUTED_VALUE"""),"Encanta")</f>
        <v>Encanta</v>
      </c>
      <c r="E141" s="64" t="str">
        <f ca="1">IFERROR(__xludf.DUMMYFUNCTION("""COMPUTED_VALUE"""),"Usa magia para retornar o zumbi mais próximo da sua casa, pra longe.")</f>
        <v>Usa magia para retornar o zumbi mais próximo da sua casa, pra longe.</v>
      </c>
      <c r="F141" s="64">
        <f ca="1">IFERROR(__xludf.DUMMYFUNCTION("""COMPUTED_VALUE"""),200)</f>
        <v>200</v>
      </c>
      <c r="G141" s="64">
        <f ca="1">IFERROR(__xludf.DUMMYFUNCTION("""COMPUTED_VALUE"""),300)</f>
        <v>300</v>
      </c>
      <c r="H141" s="64">
        <f ca="1">IFERROR(__xludf.DUMMYFUNCTION("""COMPUTED_VALUE"""),100)</f>
        <v>100</v>
      </c>
      <c r="I141" s="64">
        <f ca="1">IFERROR(__xludf.DUMMYFUNCTION("""COMPUTED_VALUE"""),20)</f>
        <v>20</v>
      </c>
      <c r="J141" s="64" t="str">
        <f ca="1">IFERROR(__xludf.DUMMYFUNCTION("""COMPUTED_VALUE"""),"Teleports up to three left most zombies to the right most column.")</f>
        <v>Teleports up to three left most zombies to the right most column.</v>
      </c>
      <c r="K141" s="64"/>
      <c r="L141" s="64" t="str">
        <f ca="1">IFERROR(__xludf.DUMMYFUNCTION("""COMPUTED_VALUE"""),"Special - Each teleportation also does damage")</f>
        <v>Special - Each teleportation also does damage</v>
      </c>
      <c r="M141" s="64" t="b">
        <f ca="1">IFERROR(__xludf.DUMMYFUNCTION("""COMPUTED_VALUE"""),FALSE)</f>
        <v>0</v>
      </c>
      <c r="N141" s="64" t="b">
        <f ca="1">IFERROR(__xludf.DUMMYFUNCTION("""COMPUTED_VALUE"""),FALSE)</f>
        <v>0</v>
      </c>
      <c r="O141" s="64">
        <f ca="1">IFERROR(__xludf.DUMMYFUNCTION("""COMPUTED_VALUE"""),0)</f>
        <v>0</v>
      </c>
      <c r="P141" s="64" t="str">
        <f ca="1">IFERROR(__xludf.DUMMYFUNCTION("""COMPUTED_VALUE"""),"Uncommon")</f>
        <v>Uncommon</v>
      </c>
      <c r="Q141" s="64" t="str">
        <f ca="1">IFERROR(__xludf.DUMMYFUNCTION("""COMPUTED_VALUE"""),"control")</f>
        <v>control</v>
      </c>
      <c r="R141" s="64" t="str">
        <f ca="1">IFERROR(__xludf.DUMMYFUNCTION("""COMPUTED_VALUE"""),"Flower")</f>
        <v>Flower</v>
      </c>
      <c r="S141" s="64" t="str">
        <f ca="1">IFERROR(__xludf.DUMMYFUNCTION("""COMPUTED_VALUE"""),"Sementium")</f>
        <v>Sementium</v>
      </c>
      <c r="T141" s="64" t="str">
        <f ca="1">IFERROR(__xludf.DUMMYFUNCTION("""COMPUTED_VALUE"""),"None")</f>
        <v>None</v>
      </c>
      <c r="U141" s="64" t="str">
        <f ca="1">IFERROR(__xludf.DUMMYFUNCTION("""COMPUTED_VALUE"""),"None")</f>
        <v>None</v>
      </c>
      <c r="V141" s="64" t="str">
        <f ca="1">IFERROR(__xludf.DUMMYFUNCTION("""COMPUTED_VALUE"""),"hocus")</f>
        <v>hocus</v>
      </c>
      <c r="W141" s="64" t="str">
        <f ca="1">IFERROR(__xludf.DUMMYFUNCTION("""COMPUTED_VALUE"""),"Ranged")</f>
        <v>Ranged</v>
      </c>
      <c r="X141" s="64" t="str">
        <f ca="1">IFERROR(__xludf.DUMMYFUNCTION("""COMPUTED_VALUE"""),"PvZ 2, PvZ 2 Chinease")</f>
        <v>PvZ 2, PvZ 2 Chinease</v>
      </c>
      <c r="Y141" s="65" t="str">
        <f ca="1">IFERROR(__xludf.DUMMYFUNCTION("""COMPUTED_VALUE"""),"https://static.wikia.nocookie.net/plantsvszombies/images/b/bd/Hocus_Crocus2.png/revision/latest?cb=20210205223344")</f>
        <v>https://static.wikia.nocookie.net/plantsvszombies/images/b/bd/Hocus_Crocus2.png/revision/latest?cb=20210205223344</v>
      </c>
    </row>
    <row r="142" spans="1:25" x14ac:dyDescent="0.2">
      <c r="A142" s="64">
        <f ca="1">IFERROR(__xludf.DUMMYFUNCTION("""COMPUTED_VALUE"""),141)</f>
        <v>141</v>
      </c>
      <c r="B142" s="64" t="str">
        <f ca="1">IFERROR(__xludf.DUMMYFUNCTION("""COMPUTED_VALUE"""),"Gloom Vine")</f>
        <v>Gloom Vine</v>
      </c>
      <c r="C142" s="64" t="str">
        <f ca="1">IFERROR(__xludf.DUMMYFUNCTION("""COMPUTED_VALUE"""),"Trevadeira")</f>
        <v>Trevadeira</v>
      </c>
      <c r="D142" s="64" t="str">
        <f ca="1">IFERROR(__xludf.DUMMYFUNCTION("""COMPUTED_VALUE"""),"Sombra")</f>
        <v>Sombra</v>
      </c>
      <c r="E142" s="64" t="str">
        <f ca="1">IFERROR(__xludf.DUMMYFUNCTION("""COMPUTED_VALUE"""),"Pode ser plantada com outra planta para fornece-la mais defesa. Além disso, golpeia todos os zumbis próximos com gás sombrio, e energiza plantas sombrias.")</f>
        <v>Pode ser plantada com outra planta para fornece-la mais defesa. Além disso, golpeia todos os zumbis próximos com gás sombrio, e energiza plantas sombrias.</v>
      </c>
      <c r="F142" s="64">
        <f ca="1">IFERROR(__xludf.DUMMYFUNCTION("""COMPUTED_VALUE"""),125)</f>
        <v>125</v>
      </c>
      <c r="G142" s="64">
        <f ca="1">IFERROR(__xludf.DUMMYFUNCTION("""COMPUTED_VALUE"""),250)</f>
        <v>250</v>
      </c>
      <c r="H142" s="64">
        <f ca="1">IFERROR(__xludf.DUMMYFUNCTION("""COMPUTED_VALUE"""),45)</f>
        <v>45</v>
      </c>
      <c r="I142" s="64">
        <f ca="1">IFERROR(__xludf.DUMMYFUNCTION("""COMPUTED_VALUE"""),5)</f>
        <v>5</v>
      </c>
      <c r="J142" s="64" t="str">
        <f ca="1">IFERROR(__xludf.DUMMYFUNCTION("""COMPUTED_VALUE"""),"Spray a stream of noxious fumes that deals increased damage.")</f>
        <v>Spray a stream of noxious fumes that deals increased damage.</v>
      </c>
      <c r="K142" s="64"/>
      <c r="L142" s="64" t="str">
        <f ca="1">IFERROR(__xludf.DUMMYFUNCTION("""COMPUTED_VALUE"""),"Special - Powers shadow plants within")</f>
        <v>Special - Powers shadow plants within</v>
      </c>
      <c r="M142" s="64" t="b">
        <f ca="1">IFERROR(__xludf.DUMMYFUNCTION("""COMPUTED_VALUE"""),FALSE)</f>
        <v>0</v>
      </c>
      <c r="N142" s="64" t="b">
        <f ca="1">IFERROR(__xludf.DUMMYFUNCTION("""COMPUTED_VALUE"""),FALSE)</f>
        <v>0</v>
      </c>
      <c r="O142" s="64">
        <f ca="1">IFERROR(__xludf.DUMMYFUNCTION("""COMPUTED_VALUE"""),0)</f>
        <v>0</v>
      </c>
      <c r="P142" s="64" t="str">
        <f ca="1">IFERROR(__xludf.DUMMYFUNCTION("""COMPUTED_VALUE"""),"Epic")</f>
        <v>Epic</v>
      </c>
      <c r="Q142" s="64" t="str">
        <f ca="1">IFERROR(__xludf.DUMMYFUNCTION("""COMPUTED_VALUE"""),"vine, area-effect")</f>
        <v>vine, area-effect</v>
      </c>
      <c r="R142" s="64" t="str">
        <f ca="1">IFERROR(__xludf.DUMMYFUNCTION("""COMPUTED_VALUE"""),"Murshroom")</f>
        <v>Murshroom</v>
      </c>
      <c r="S142" s="64" t="str">
        <f ca="1">IFERROR(__xludf.DUMMYFUNCTION("""COMPUTED_VALUE"""),"Sementium")</f>
        <v>Sementium</v>
      </c>
      <c r="T142" s="64" t="str">
        <f ca="1">IFERROR(__xludf.DUMMYFUNCTION("""COMPUTED_VALUE"""),"None")</f>
        <v>None</v>
      </c>
      <c r="U142" s="64" t="str">
        <f ca="1">IFERROR(__xludf.DUMMYFUNCTION("""COMPUTED_VALUE"""),"None")</f>
        <v>None</v>
      </c>
      <c r="V142" s="64" t="str">
        <f ca="1">IFERROR(__xludf.DUMMYFUNCTION("""COMPUTED_VALUE"""),"gloomvine")</f>
        <v>gloomvine</v>
      </c>
      <c r="W142" s="64" t="str">
        <f ca="1">IFERROR(__xludf.DUMMYFUNCTION("""COMPUTED_VALUE"""),"Vanguard")</f>
        <v>Vanguard</v>
      </c>
      <c r="X142" s="64" t="str">
        <f ca="1">IFERROR(__xludf.DUMMYFUNCTION("""COMPUTED_VALUE"""),"PvZ 2, PvZ 2 Chinease")</f>
        <v>PvZ 2, PvZ 2 Chinease</v>
      </c>
      <c r="Y142" s="65" t="str">
        <f ca="1">IFERROR(__xludf.DUMMYFUNCTION("""COMPUTED_VALUE"""),"https://static.wikia.nocookie.net/plantsvszombies/images/8/8a/Gloom_Vine2.png/revision/latest?cb=20210205225758")</f>
        <v>https://static.wikia.nocookie.net/plantsvszombies/images/8/8a/Gloom_Vine2.png/revision/latest?cb=20210205225758</v>
      </c>
    </row>
    <row r="143" spans="1:25" x14ac:dyDescent="0.2">
      <c r="A143" s="64">
        <f ca="1">IFERROR(__xludf.DUMMYFUNCTION("""COMPUTED_VALUE"""),142)</f>
        <v>142</v>
      </c>
      <c r="B143" s="64" t="str">
        <f ca="1">IFERROR(__xludf.DUMMYFUNCTION("""COMPUTED_VALUE"""),"Draftodil")</f>
        <v>Draftodil</v>
      </c>
      <c r="C143" s="64" t="str">
        <f ca="1">IFERROR(__xludf.DUMMYFUNCTION("""COMPUTED_VALUE"""),"Narciseolico")</f>
        <v>Narciseolico</v>
      </c>
      <c r="D143" s="64" t="str">
        <f ca="1">IFERROR(__xludf.DUMMYFUNCTION("""COMPUTED_VALUE"""),"Refrea")</f>
        <v>Refrea</v>
      </c>
      <c r="E143" s="64" t="str">
        <f ca="1">IFERROR(__xludf.DUMMYFUNCTION("""COMPUTED_VALUE"""),"Diminui a velocidade de zumbis voadores, além de disparar ar comprimido que pode nocautear zumbis voadores e paraliza zumbis comuns.")</f>
        <v>Diminui a velocidade de zumbis voadores, além de disparar ar comprimido que pode nocautear zumbis voadores e paraliza zumbis comuns.</v>
      </c>
      <c r="F143" s="64">
        <f ca="1">IFERROR(__xludf.DUMMYFUNCTION("""COMPUTED_VALUE"""),100)</f>
        <v>100</v>
      </c>
      <c r="G143" s="64">
        <f ca="1">IFERROR(__xludf.DUMMYFUNCTION("""COMPUTED_VALUE"""),300)</f>
        <v>300</v>
      </c>
      <c r="H143" s="64">
        <f ca="1">IFERROR(__xludf.DUMMYFUNCTION("""COMPUTED_VALUE"""),15)</f>
        <v>15</v>
      </c>
      <c r="I143" s="64">
        <f ca="1">IFERROR(__xludf.DUMMYFUNCTION("""COMPUTED_VALUE"""),5)</f>
        <v>5</v>
      </c>
      <c r="J143" s="64" t="str">
        <f ca="1">IFERROR(__xludf.DUMMYFUNCTION("""COMPUTED_VALUE"""),"Blows away all flying zombies in the row. Release multiple air burst that deal damage and stuns zombies in the row.")</f>
        <v>Blows away all flying zombies in the row. Release multiple air burst that deal damage and stuns zombies in the row.</v>
      </c>
      <c r="K143" s="64" t="str">
        <f ca="1">IFERROR(__xludf.DUMMYFUNCTION("""COMPUTED_VALUE"""),"Briefly stuns non-flying zombies")</f>
        <v>Briefly stuns non-flying zombies</v>
      </c>
      <c r="L143" s="64" t="str">
        <f ca="1">IFERROR(__xludf.DUMMYFUNCTION("""COMPUTED_VALUE"""),"
Special - Air cannon knocks critters, imps and shrunken zombies off the lawn")</f>
        <v xml:space="preserve">
Special - Air cannon knocks critters, imps and shrunken zombies off the lawn</v>
      </c>
      <c r="M143" s="64" t="b">
        <f ca="1">IFERROR(__xludf.DUMMYFUNCTION("""COMPUTED_VALUE"""),FALSE)</f>
        <v>0</v>
      </c>
      <c r="N143" s="64" t="b">
        <f ca="1">IFERROR(__xludf.DUMMYFUNCTION("""COMPUTED_VALUE"""),FALSE)</f>
        <v>0</v>
      </c>
      <c r="O143" s="64">
        <f ca="1">IFERROR(__xludf.DUMMYFUNCTION("""COMPUTED_VALUE"""),0)</f>
        <v>0</v>
      </c>
      <c r="P143" s="64" t="str">
        <f ca="1">IFERROR(__xludf.DUMMYFUNCTION("""COMPUTED_VALUE"""),"Epic")</f>
        <v>Epic</v>
      </c>
      <c r="Q143" s="64" t="str">
        <f ca="1">IFERROR(__xludf.DUMMYFUNCTION("""COMPUTED_VALUE"""),"slowing")</f>
        <v>slowing</v>
      </c>
      <c r="R143" s="64" t="str">
        <f ca="1">IFERROR(__xludf.DUMMYFUNCTION("""COMPUTED_VALUE"""),"Flower")</f>
        <v>Flower</v>
      </c>
      <c r="S143" s="64" t="str">
        <f ca="1">IFERROR(__xludf.DUMMYFUNCTION("""COMPUTED_VALUE"""),"Sementium")</f>
        <v>Sementium</v>
      </c>
      <c r="T143" s="64" t="str">
        <f ca="1">IFERROR(__xludf.DUMMYFUNCTION("""COMPUTED_VALUE"""),"None")</f>
        <v>None</v>
      </c>
      <c r="U143" s="64" t="str">
        <f ca="1">IFERROR(__xludf.DUMMYFUNCTION("""COMPUTED_VALUE"""),"None")</f>
        <v>None</v>
      </c>
      <c r="V143" s="64" t="str">
        <f ca="1">IFERROR(__xludf.DUMMYFUNCTION("""COMPUTED_VALUE"""),"draftodil")</f>
        <v>draftodil</v>
      </c>
      <c r="W143" s="64" t="str">
        <f ca="1">IFERROR(__xludf.DUMMYFUNCTION("""COMPUTED_VALUE"""),"Ranged")</f>
        <v>Ranged</v>
      </c>
      <c r="X143" s="64" t="str">
        <f ca="1">IFERROR(__xludf.DUMMYFUNCTION("""COMPUTED_VALUE"""),"PvZ 2, PvZ 2 Chinease")</f>
        <v>PvZ 2, PvZ 2 Chinease</v>
      </c>
      <c r="Y143" s="65" t="str">
        <f ca="1">IFERROR(__xludf.DUMMYFUNCTION("""COMPUTED_VALUE"""),"https://static.wikia.nocookie.net/plantsvszombies/images/5/52/Draftodil2.png/revision/latest?cb=20210203212740")</f>
        <v>https://static.wikia.nocookie.net/plantsvszombies/images/5/52/Draftodil2.png/revision/latest?cb=20210203212740</v>
      </c>
    </row>
    <row r="144" spans="1:25" x14ac:dyDescent="0.2">
      <c r="A144" s="64">
        <f ca="1">IFERROR(__xludf.DUMMYFUNCTION("""COMPUTED_VALUE"""),143)</f>
        <v>143</v>
      </c>
      <c r="B144" s="64" t="str">
        <f ca="1">IFERROR(__xludf.DUMMYFUNCTION("""COMPUTED_VALUE"""),"Boom Ballon Flower")</f>
        <v>Boom Ballon Flower</v>
      </c>
      <c r="C144" s="64" t="str">
        <f ca="1">IFERROR(__xludf.DUMMYFUNCTION("""COMPUTED_VALUE"""),"Flor balão bombastica")</f>
        <v>Flor balão bombastica</v>
      </c>
      <c r="D144" s="64" t="str">
        <f ca="1">IFERROR(__xludf.DUMMYFUNCTION("""COMPUTED_VALUE"""),"Bombarda")</f>
        <v>Bombarda</v>
      </c>
      <c r="E144" s="64" t="str">
        <f ca="1">IFERROR(__xludf.DUMMYFUNCTION("""COMPUTED_VALUE"""),"Invoca flores-balão que explodem ao contato com zumbis, você pode agrupar até 3 flores em um único quadrado.")</f>
        <v>Invoca flores-balão que explodem ao contato com zumbis, você pode agrupar até 3 flores em um único quadrado.</v>
      </c>
      <c r="F144" s="64">
        <f ca="1">IFERROR(__xludf.DUMMYFUNCTION("""COMPUTED_VALUE"""),350)</f>
        <v>350</v>
      </c>
      <c r="G144" s="64">
        <f ca="1">IFERROR(__xludf.DUMMYFUNCTION("""COMPUTED_VALUE"""),300)</f>
        <v>300</v>
      </c>
      <c r="H144" s="64">
        <f ca="1">IFERROR(__xludf.DUMMYFUNCTION("""COMPUTED_VALUE"""),575)</f>
        <v>575</v>
      </c>
      <c r="I144" s="64">
        <f ca="1">IFERROR(__xludf.DUMMYFUNCTION("""COMPUTED_VALUE"""),5)</f>
        <v>5</v>
      </c>
      <c r="J144" s="64" t="str">
        <f ca="1">IFERROR(__xludf.DUMMYFUNCTION("""COMPUTED_VALUE"""),"Spawns a giant Doom-shroom balloon named the ""Doom Balloon"", that will explode once it reaches the fifth column.")</f>
        <v>Spawns a giant Doom-shroom balloon named the "Doom Balloon", that will explode once it reaches the fifth column.</v>
      </c>
      <c r="K144" s="64" t="str">
        <f ca="1">IFERROR(__xludf.DUMMYFUNCTION("""COMPUTED_VALUE"""),"Tap or drag from Boom Balloon Flower to move a balloon to a tile")</f>
        <v>Tap or drag from Boom Balloon Flower to move a balloon to a tile</v>
      </c>
      <c r="L144" s="64"/>
      <c r="M144" s="64" t="b">
        <f ca="1">IFERROR(__xludf.DUMMYFUNCTION("""COMPUTED_VALUE"""),FALSE)</f>
        <v>0</v>
      </c>
      <c r="N144" s="64" t="b">
        <f ca="1">IFERROR(__xludf.DUMMYFUNCTION("""COMPUTED_VALUE"""),FALSE)</f>
        <v>0</v>
      </c>
      <c r="O144" s="64">
        <f ca="1">IFERROR(__xludf.DUMMYFUNCTION("""COMPUTED_VALUE"""),0)</f>
        <v>0</v>
      </c>
      <c r="P144" s="64" t="str">
        <f ca="1">IFERROR(__xludf.DUMMYFUNCTION("""COMPUTED_VALUE"""),"Rare")</f>
        <v>Rare</v>
      </c>
      <c r="Q144" s="64" t="str">
        <f ca="1">IFERROR(__xludf.DUMMYFUNCTION("""COMPUTED_VALUE"""),"control, explosion")</f>
        <v>control, explosion</v>
      </c>
      <c r="R144" s="64" t="str">
        <f ca="1">IFERROR(__xludf.DUMMYFUNCTION("""COMPUTED_VALUE"""),"Flower")</f>
        <v>Flower</v>
      </c>
      <c r="S144" s="64" t="str">
        <f ca="1">IFERROR(__xludf.DUMMYFUNCTION("""COMPUTED_VALUE"""),"Sementium")</f>
        <v>Sementium</v>
      </c>
      <c r="T144" s="64" t="str">
        <f ca="1">IFERROR(__xludf.DUMMYFUNCTION("""COMPUTED_VALUE"""),"None")</f>
        <v>None</v>
      </c>
      <c r="U144" s="64" t="str">
        <f ca="1">IFERROR(__xludf.DUMMYFUNCTION("""COMPUTED_VALUE"""),"None")</f>
        <v>None</v>
      </c>
      <c r="V144" s="64" t="str">
        <f ca="1">IFERROR(__xludf.DUMMYFUNCTION("""COMPUTED_VALUE"""),"boomflower")</f>
        <v>boomflower</v>
      </c>
      <c r="W144" s="64" t="str">
        <f ca="1">IFERROR(__xludf.DUMMYFUNCTION("""COMPUTED_VALUE"""),"Ranged")</f>
        <v>Ranged</v>
      </c>
      <c r="X144" s="64" t="str">
        <f ca="1">IFERROR(__xludf.DUMMYFUNCTION("""COMPUTED_VALUE"""),"PvZ 2, PvZ 2 Chinease")</f>
        <v>PvZ 2, PvZ 2 Chinease</v>
      </c>
      <c r="Y144" s="65" t="str">
        <f ca="1">IFERROR(__xludf.DUMMYFUNCTION("""COMPUTED_VALUE"""),"https://static.wikia.nocookie.net/plantsvszombies/images/2/23/Boom_Balloon_Flower2.png/revision/latest?cb=20220221101417")</f>
        <v>https://static.wikia.nocookie.net/plantsvszombies/images/2/23/Boom_Balloon_Flower2.png/revision/latest?cb=20220221101417</v>
      </c>
    </row>
    <row r="145" spans="1:25" x14ac:dyDescent="0.2">
      <c r="A145" s="64">
        <f ca="1">IFERROR(__xludf.DUMMYFUNCTION("""COMPUTED_VALUE"""),144)</f>
        <v>144</v>
      </c>
      <c r="B145" s="64" t="str">
        <f ca="1">IFERROR(__xludf.DUMMYFUNCTION("""COMPUTED_VALUE"""),"Pea Vine")</f>
        <v>Pea Vine</v>
      </c>
      <c r="C145" s="64" t="str">
        <f ca="1">IFERROR(__xludf.DUMMYFUNCTION("""COMPUTED_VALUE"""),"Trepadeirervilha")</f>
        <v>Trepadeirervilha</v>
      </c>
      <c r="D145" s="64" t="str">
        <f ca="1">IFERROR(__xludf.DUMMYFUNCTION("""COMPUTED_VALUE"""),"Dispara")</f>
        <v>Dispara</v>
      </c>
      <c r="E145" s="64" t="str">
        <f ca="1">IFERROR(__xludf.DUMMYFUNCTION("""COMPUTED_VALUE"""),"Pode ser plantada com outra planta para fornece-la mais defesa. Além disso, dispara uma ervilha contra os zumbis, e aumena o dano das plantas da classe Dispara em 1.5x.")</f>
        <v>Pode ser plantada com outra planta para fornece-la mais defesa. Além disso, dispara uma ervilha contra os zumbis, e aumena o dano das plantas da classe Dispara em 1.5x.</v>
      </c>
      <c r="F145" s="64">
        <f ca="1">IFERROR(__xludf.DUMMYFUNCTION("""COMPUTED_VALUE"""),125)</f>
        <v>125</v>
      </c>
      <c r="G145" s="64">
        <f ca="1">IFERROR(__xludf.DUMMYFUNCTION("""COMPUTED_VALUE"""),300)</f>
        <v>300</v>
      </c>
      <c r="H145" s="64">
        <f ca="1">IFERROR(__xludf.DUMMYFUNCTION("""COMPUTED_VALUE"""),20)</f>
        <v>20</v>
      </c>
      <c r="I145" s="64">
        <f ca="1">IFERROR(__xludf.DUMMYFUNCTION("""COMPUTED_VALUE"""),5)</f>
        <v>5</v>
      </c>
      <c r="J145" s="64" t="str">
        <f ca="1">IFERROR(__xludf.DUMMYFUNCTION("""COMPUTED_VALUE"""),"Fires a barrage of peas.")</f>
        <v>Fires a barrage of peas.</v>
      </c>
      <c r="K145" s="64" t="str">
        <f ca="1">IFERROR(__xludf.DUMMYFUNCTION("""COMPUTED_VALUE"""),"Boosts Appease-mint Family plants")</f>
        <v>Boosts Appease-mint Family plants</v>
      </c>
      <c r="L145" s="64"/>
      <c r="M145" s="64" t="b">
        <f ca="1">IFERROR(__xludf.DUMMYFUNCTION("""COMPUTED_VALUE"""),FALSE)</f>
        <v>0</v>
      </c>
      <c r="N145" s="64" t="b">
        <f ca="1">IFERROR(__xludf.DUMMYFUNCTION("""COMPUTED_VALUE"""),FALSE)</f>
        <v>0</v>
      </c>
      <c r="O145" s="64">
        <f ca="1">IFERROR(__xludf.DUMMYFUNCTION("""COMPUTED_VALUE"""),0)</f>
        <v>0</v>
      </c>
      <c r="P145" s="64" t="str">
        <f ca="1">IFERROR(__xludf.DUMMYFUNCTION("""COMPUTED_VALUE"""),"Legendary")</f>
        <v>Legendary</v>
      </c>
      <c r="Q145" s="64" t="str">
        <f ca="1">IFERROR(__xludf.DUMMYFUNCTION("""COMPUTED_VALUE"""),"vine")</f>
        <v>vine</v>
      </c>
      <c r="R145" s="64" t="str">
        <f ca="1">IFERROR(__xludf.DUMMYFUNCTION("""COMPUTED_VALUE"""),"Pea")</f>
        <v>Pea</v>
      </c>
      <c r="S145" s="64" t="str">
        <f ca="1">IFERROR(__xludf.DUMMYFUNCTION("""COMPUTED_VALUE"""),"Sementium")</f>
        <v>Sementium</v>
      </c>
      <c r="T145" s="64" t="str">
        <f ca="1">IFERROR(__xludf.DUMMYFUNCTION("""COMPUTED_VALUE"""),"None")</f>
        <v>None</v>
      </c>
      <c r="U145" s="64" t="str">
        <f ca="1">IFERROR(__xludf.DUMMYFUNCTION("""COMPUTED_VALUE"""),"None")</f>
        <v>None</v>
      </c>
      <c r="V145" s="64" t="str">
        <f ca="1">IFERROR(__xludf.DUMMYFUNCTION("""COMPUTED_VALUE"""),"pvine")</f>
        <v>pvine</v>
      </c>
      <c r="W145" s="64" t="str">
        <f ca="1">IFERROR(__xludf.DUMMYFUNCTION("""COMPUTED_VALUE"""),"Ranged")</f>
        <v>Ranged</v>
      </c>
      <c r="X145" s="64" t="str">
        <f ca="1">IFERROR(__xludf.DUMMYFUNCTION("""COMPUTED_VALUE"""),"PvZ 2, PvZ 2 Chinease")</f>
        <v>PvZ 2, PvZ 2 Chinease</v>
      </c>
      <c r="Y145" s="65" t="str">
        <f ca="1">IFERROR(__xludf.DUMMYFUNCTION("""COMPUTED_VALUE"""),"https://static.wikia.nocookie.net/plantsvszombies/images/a/a1/Pea_Vine2.png/revision/latest?cb=20210916020642")</f>
        <v>https://static.wikia.nocookie.net/plantsvszombies/images/a/a1/Pea_Vine2.png/revision/latest?cb=20210916020642</v>
      </c>
    </row>
    <row r="146" spans="1:25" x14ac:dyDescent="0.2">
      <c r="A146" s="64">
        <f ca="1">IFERROR(__xludf.DUMMYFUNCTION("""COMPUTED_VALUE"""),145)</f>
        <v>145</v>
      </c>
      <c r="B146" s="64" t="str">
        <f ca="1">IFERROR(__xludf.DUMMYFUNCTION("""COMPUTED_VALUE"""),"Inferno")</f>
        <v>Inferno</v>
      </c>
      <c r="C146" s="64" t="str">
        <f ca="1">IFERROR(__xludf.DUMMYFUNCTION("""COMPUTED_VALUE"""),"Incendiária")</f>
        <v>Incendiária</v>
      </c>
      <c r="D146" s="64" t="str">
        <f ca="1">IFERROR(__xludf.DUMMYFUNCTION("""COMPUTED_VALUE"""),"Aquecida")</f>
        <v>Aquecida</v>
      </c>
      <c r="E146" s="64" t="str">
        <f ca="1">IFERROR(__xludf.DUMMYFUNCTION("""COMPUTED_VALUE"""),"Lança um tornado de fogo que queima e empurra zumbis.")</f>
        <v>Lança um tornado de fogo que queima e empurra zumbis.</v>
      </c>
      <c r="F146" s="64">
        <f ca="1">IFERROR(__xludf.DUMMYFUNCTION("""COMPUTED_VALUE"""),200)</f>
        <v>200</v>
      </c>
      <c r="G146" s="64">
        <f ca="1">IFERROR(__xludf.DUMMYFUNCTION("""COMPUTED_VALUE"""),300)</f>
        <v>300</v>
      </c>
      <c r="H146" s="64">
        <f ca="1">IFERROR(__xludf.DUMMYFUNCTION("""COMPUTED_VALUE"""),22)</f>
        <v>22</v>
      </c>
      <c r="I146" s="64">
        <f ca="1">IFERROR(__xludf.DUMMYFUNCTION("""COMPUTED_VALUE"""),25)</f>
        <v>25</v>
      </c>
      <c r="J146" s="64" t="str">
        <f ca="1">IFERROR(__xludf.DUMMYFUNCTION("""COMPUTED_VALUE"""),"Create a huge fire tornado that pulls zombies in the adjacent columns, dealing heavy damage.")</f>
        <v>Create a huge fire tornado that pulls zombies in the adjacent columns, dealing heavy damage.</v>
      </c>
      <c r="K146" s="64"/>
      <c r="L146" s="64" t="str">
        <f ca="1">IFERROR(__xludf.DUMMYFUNCTION("""COMPUTED_VALUE"""),"Special - Immune to frost
Special - Warms nearby plants")</f>
        <v>Special - Immune to frost
Special - Warms nearby plants</v>
      </c>
      <c r="M146" s="64" t="b">
        <f ca="1">IFERROR(__xludf.DUMMYFUNCTION("""COMPUTED_VALUE"""),FALSE)</f>
        <v>0</v>
      </c>
      <c r="N146" s="64" t="b">
        <f ca="1">IFERROR(__xludf.DUMMYFUNCTION("""COMPUTED_VALUE"""),FALSE)</f>
        <v>0</v>
      </c>
      <c r="O146" s="64">
        <f ca="1">IFERROR(__xludf.DUMMYFUNCTION("""COMPUTED_VALUE"""),0)</f>
        <v>0</v>
      </c>
      <c r="P146" s="64" t="str">
        <f ca="1">IFERROR(__xludf.DUMMYFUNCTION("""COMPUTED_VALUE"""),"Mythical")</f>
        <v>Mythical</v>
      </c>
      <c r="Q146" s="64" t="str">
        <f ca="1">IFERROR(__xludf.DUMMYFUNCTION("""COMPUTED_VALUE"""),"control")</f>
        <v>control</v>
      </c>
      <c r="R146" s="64" t="str">
        <f ca="1">IFERROR(__xludf.DUMMYFUNCTION("""COMPUTED_VALUE"""),"Leaf")</f>
        <v>Leaf</v>
      </c>
      <c r="S146" s="64" t="str">
        <f ca="1">IFERROR(__xludf.DUMMYFUNCTION("""COMPUTED_VALUE"""),"Sementium")</f>
        <v>Sementium</v>
      </c>
      <c r="T146" s="64" t="str">
        <f ca="1">IFERROR(__xludf.DUMMYFUNCTION("""COMPUTED_VALUE"""),"None")</f>
        <v>None</v>
      </c>
      <c r="U146" s="64" t="str">
        <f ca="1">IFERROR(__xludf.DUMMYFUNCTION("""COMPUTED_VALUE"""),"None")</f>
        <v>None</v>
      </c>
      <c r="V146" s="64" t="str">
        <f ca="1">IFERROR(__xludf.DUMMYFUNCTION("""COMPUTED_VALUE"""),"inferno")</f>
        <v>inferno</v>
      </c>
      <c r="W146" s="64" t="str">
        <f ca="1">IFERROR(__xludf.DUMMYFUNCTION("""COMPUTED_VALUE"""),"Ranged")</f>
        <v>Ranged</v>
      </c>
      <c r="X146" s="64" t="str">
        <f ca="1">IFERROR(__xludf.DUMMYFUNCTION("""COMPUTED_VALUE"""),"PvZ 2, PvZ 2 Chinease")</f>
        <v>PvZ 2, PvZ 2 Chinease</v>
      </c>
      <c r="Y146" s="65" t="str">
        <f ca="1">IFERROR(__xludf.DUMMYFUNCTION("""COMPUTED_VALUE"""),"https://static.wikia.nocookie.net/plantsvszombies/images/7/7e/Inferno2.png/revision/latest?cb=20210916020513")</f>
        <v>https://static.wikia.nocookie.net/plantsvszombies/images/7/7e/Inferno2.png/revision/latest?cb=20210916020513</v>
      </c>
    </row>
    <row r="147" spans="1:25" x14ac:dyDescent="0.2">
      <c r="A147" s="64">
        <f ca="1">IFERROR(__xludf.DUMMYFUNCTION("""COMPUTED_VALUE"""),146)</f>
        <v>146</v>
      </c>
      <c r="B147" s="64" t="str">
        <f ca="1">IFERROR(__xludf.DUMMYFUNCTION("""COMPUTED_VALUE"""),"Solar Sage")</f>
        <v>Solar Sage</v>
      </c>
      <c r="C147" s="64" t="str">
        <f ca="1">IFERROR(__xludf.DUMMYFUNCTION("""COMPUTED_VALUE"""),"Sálvia solar")</f>
        <v>Sálvia solar</v>
      </c>
      <c r="D147" s="64" t="str">
        <f ca="1">IFERROR(__xludf.DUMMYFUNCTION("""COMPUTED_VALUE"""),"Esclarecida")</f>
        <v>Esclarecida</v>
      </c>
      <c r="E147" s="64" t="str">
        <f ca="1">IFERROR(__xludf.DUMMYFUNCTION("""COMPUTED_VALUE"""),"Ilumina um zumbi, fazendo com que trancenda-o e retorne o caminho enquanto produz sóis adicionais.")</f>
        <v>Ilumina um zumbi, fazendo com que trancenda-o e retorne o caminho enquanto produz sóis adicionais.</v>
      </c>
      <c r="F147" s="64">
        <f ca="1">IFERROR(__xludf.DUMMYFUNCTION("""COMPUTED_VALUE"""),0)</f>
        <v>0</v>
      </c>
      <c r="G147" s="64">
        <f ca="1">IFERROR(__xludf.DUMMYFUNCTION("""COMPUTED_VALUE"""),300)</f>
        <v>300</v>
      </c>
      <c r="H147" s="64">
        <f ca="1">IFERROR(__xludf.DUMMYFUNCTION("""COMPUTED_VALUE"""),0)</f>
        <v>0</v>
      </c>
      <c r="I147" s="64">
        <f ca="1">IFERROR(__xludf.DUMMYFUNCTION("""COMPUTED_VALUE"""),20)</f>
        <v>20</v>
      </c>
      <c r="J147" s="64" t="str">
        <f ca="1">IFERROR(__xludf.DUMMYFUNCTION("""COMPUTED_VALUE"""),"Illuminates zombies in the surrounding area, causing them to fight other zombies. Produces sun if there are no valid zombies in its effect area.")</f>
        <v>Illuminates zombies in the surrounding area, causing them to fight other zombies. Produces sun if there are no valid zombies in its effect area.</v>
      </c>
      <c r="K147" s="64"/>
      <c r="L147" s="64"/>
      <c r="M147" s="64" t="b">
        <f ca="1">IFERROR(__xludf.DUMMYFUNCTION("""COMPUTED_VALUE"""),TRUE)</f>
        <v>1</v>
      </c>
      <c r="N147" s="64" t="b">
        <f ca="1">IFERROR(__xludf.DUMMYFUNCTION("""COMPUTED_VALUE"""),FALSE)</f>
        <v>0</v>
      </c>
      <c r="O147" s="64">
        <f ca="1">IFERROR(__xludf.DUMMYFUNCTION("""COMPUTED_VALUE"""),50)</f>
        <v>50</v>
      </c>
      <c r="P147" s="64" t="str">
        <f ca="1">IFERROR(__xludf.DUMMYFUNCTION("""COMPUTED_VALUE"""),"Mythical")</f>
        <v>Mythical</v>
      </c>
      <c r="Q147" s="64" t="str">
        <f ca="1">IFERROR(__xludf.DUMMYFUNCTION("""COMPUTED_VALUE"""),"flying")</f>
        <v>flying</v>
      </c>
      <c r="R147" s="64" t="str">
        <f ca="1">IFERROR(__xludf.DUMMYFUNCTION("""COMPUTED_VALUE"""),"Leaf")</f>
        <v>Leaf</v>
      </c>
      <c r="S147" s="64" t="str">
        <f ca="1">IFERROR(__xludf.DUMMYFUNCTION("""COMPUTED_VALUE"""),"Sementium")</f>
        <v>Sementium</v>
      </c>
      <c r="T147" s="64" t="str">
        <f ca="1">IFERROR(__xludf.DUMMYFUNCTION("""COMPUTED_VALUE"""),"None")</f>
        <v>None</v>
      </c>
      <c r="U147" s="64" t="str">
        <f ca="1">IFERROR(__xludf.DUMMYFUNCTION("""COMPUTED_VALUE"""),"None")</f>
        <v>None</v>
      </c>
      <c r="V147" s="64" t="str">
        <f ca="1">IFERROR(__xludf.DUMMYFUNCTION("""COMPUTED_VALUE"""),"solarsage")</f>
        <v>solarsage</v>
      </c>
      <c r="W147" s="64" t="str">
        <f ca="1">IFERROR(__xludf.DUMMYFUNCTION("""COMPUTED_VALUE"""),"Sun")</f>
        <v>Sun</v>
      </c>
      <c r="X147" s="64" t="str">
        <f ca="1">IFERROR(__xludf.DUMMYFUNCTION("""COMPUTED_VALUE"""),"PvZ 2")</f>
        <v>PvZ 2</v>
      </c>
      <c r="Y147" s="65" t="str">
        <f ca="1">IFERROR(__xludf.DUMMYFUNCTION("""COMPUTED_VALUE"""),"https://static.wikia.nocookie.net/plantsvszombies/images/9/96/Solar_Sage2.png/revision/latest?cb=20210621230624")</f>
        <v>https://static.wikia.nocookie.net/plantsvszombies/images/9/96/Solar_Sage2.png/revision/latest?cb=20210621230624</v>
      </c>
    </row>
    <row r="148" spans="1:25" x14ac:dyDescent="0.2">
      <c r="A148" s="64">
        <f ca="1">IFERROR(__xludf.DUMMYFUNCTION("""COMPUTED_VALUE"""),147)</f>
        <v>147</v>
      </c>
      <c r="B148" s="64" t="str">
        <f ca="1">IFERROR(__xludf.DUMMYFUNCTION("""COMPUTED_VALUE"""),"Power Vine")</f>
        <v>Power Vine</v>
      </c>
      <c r="C148" s="64" t="str">
        <f ca="1">IFERROR(__xludf.DUMMYFUNCTION("""COMPUTED_VALUE"""),"Trepadeira Elétrica")</f>
        <v>Trepadeira Elétrica</v>
      </c>
      <c r="D148" s="64" t="str">
        <f ca="1">IFERROR(__xludf.DUMMYFUNCTION("""COMPUTED_VALUE"""),"Fila")</f>
        <v>Fila</v>
      </c>
      <c r="E148" s="64" t="str">
        <f ca="1">IFERROR(__xludf.DUMMYFUNCTION("""COMPUTED_VALUE"""),"Pode ser plantada com outra planta para fornece-la mais defesa. Além disso, dispara rajadas eletricas que ficam mais fortes se estiver conectado a outra desta planta.")</f>
        <v>Pode ser plantada com outra planta para fornece-la mais defesa. Além disso, dispara rajadas eletricas que ficam mais fortes se estiver conectado a outra desta planta.</v>
      </c>
      <c r="F148" s="64">
        <f ca="1">IFERROR(__xludf.DUMMYFUNCTION("""COMPUTED_VALUE"""),150)</f>
        <v>150</v>
      </c>
      <c r="G148" s="64">
        <f ca="1">IFERROR(__xludf.DUMMYFUNCTION("""COMPUTED_VALUE"""),250)</f>
        <v>250</v>
      </c>
      <c r="H148" s="64">
        <f ca="1">IFERROR(__xludf.DUMMYFUNCTION("""COMPUTED_VALUE"""),10)</f>
        <v>10</v>
      </c>
      <c r="I148" s="64">
        <f ca="1">IFERROR(__xludf.DUMMYFUNCTION("""COMPUTED_VALUE"""),5)</f>
        <v>5</v>
      </c>
      <c r="J148" s="64" t="str">
        <f ca="1">IFERROR(__xludf.DUMMYFUNCTION("""COMPUTED_VALUE"""),"Disable nearby mechanical enemies and unleashes a wave of energy bolts. When he's linked with another Power Vine, unleashes 3 waves of energy bolts.")</f>
        <v>Disable nearby mechanical enemies and unleashes a wave of energy bolts. When he's linked with another Power Vine, unleashes 3 waves of energy bolts.</v>
      </c>
      <c r="K148" s="64"/>
      <c r="L148" s="64" t="str">
        <f ca="1">IFERROR(__xludf.DUMMYFUNCTION("""COMPUTED_VALUE"""),"Special - Power Vines horizontally or vertically adjacent to other Power Vines form a network")</f>
        <v>Special - Power Vines horizontally or vertically adjacent to other Power Vines form a network</v>
      </c>
      <c r="M148" s="64" t="b">
        <f ca="1">IFERROR(__xludf.DUMMYFUNCTION("""COMPUTED_VALUE"""),FALSE)</f>
        <v>0</v>
      </c>
      <c r="N148" s="64" t="b">
        <f ca="1">IFERROR(__xludf.DUMMYFUNCTION("""COMPUTED_VALUE"""),FALSE)</f>
        <v>0</v>
      </c>
      <c r="O148" s="64">
        <f ca="1">IFERROR(__xludf.DUMMYFUNCTION("""COMPUTED_VALUE"""),0)</f>
        <v>0</v>
      </c>
      <c r="P148" s="64" t="str">
        <f ca="1">IFERROR(__xludf.DUMMYFUNCTION("""COMPUTED_VALUE"""),"Rare")</f>
        <v>Rare</v>
      </c>
      <c r="Q148" s="64" t="str">
        <f ca="1">IFERROR(__xludf.DUMMYFUNCTION("""COMPUTED_VALUE"""),"vine")</f>
        <v>vine</v>
      </c>
      <c r="R148" s="64" t="str">
        <f ca="1">IFERROR(__xludf.DUMMYFUNCTION("""COMPUTED_VALUE"""),"Berry")</f>
        <v>Berry</v>
      </c>
      <c r="S148" s="64" t="str">
        <f ca="1">IFERROR(__xludf.DUMMYFUNCTION("""COMPUTED_VALUE"""),"Sementium")</f>
        <v>Sementium</v>
      </c>
      <c r="T148" s="64" t="str">
        <f ca="1">IFERROR(__xludf.DUMMYFUNCTION("""COMPUTED_VALUE"""),"None")</f>
        <v>None</v>
      </c>
      <c r="U148" s="64" t="str">
        <f ca="1">IFERROR(__xludf.DUMMYFUNCTION("""COMPUTED_VALUE"""),"None")</f>
        <v>None</v>
      </c>
      <c r="V148" s="64" t="str">
        <f ca="1">IFERROR(__xludf.DUMMYFUNCTION("""COMPUTED_VALUE"""),"powervine")</f>
        <v>powervine</v>
      </c>
      <c r="W148" s="64" t="str">
        <f ca="1">IFERROR(__xludf.DUMMYFUNCTION("""COMPUTED_VALUE"""),"Ranged")</f>
        <v>Ranged</v>
      </c>
      <c r="X148" s="64" t="str">
        <f ca="1">IFERROR(__xludf.DUMMYFUNCTION("""COMPUTED_VALUE"""),"PvZ 2, PvZ 2 Chinease")</f>
        <v>PvZ 2, PvZ 2 Chinease</v>
      </c>
      <c r="Y148" s="65" t="str">
        <f ca="1">IFERROR(__xludf.DUMMYFUNCTION("""COMPUTED_VALUE"""),"https://static.wikia.nocookie.net/plantsvszombies/images/9/95/Power_Vine2.png/revision/latest?cb=20210803233254")</f>
        <v>https://static.wikia.nocookie.net/plantsvszombies/images/9/95/Power_Vine2.png/revision/latest?cb=20210803233254</v>
      </c>
    </row>
    <row r="149" spans="1:25" x14ac:dyDescent="0.2">
      <c r="A149" s="64">
        <f ca="1">IFERROR(__xludf.DUMMYFUNCTION("""COMPUTED_VALUE"""),148)</f>
        <v>148</v>
      </c>
      <c r="B149" s="64" t="str">
        <f ca="1">IFERROR(__xludf.DUMMYFUNCTION("""COMPUTED_VALUE"""),"Noctarine")</f>
        <v>Noctarine</v>
      </c>
      <c r="C149" s="64" t="str">
        <f ca="1">IFERROR(__xludf.DUMMYFUNCTION("""COMPUTED_VALUE"""),"Noturnarina")</f>
        <v>Noturnarina</v>
      </c>
      <c r="D149" s="64" t="str">
        <f ca="1">IFERROR(__xludf.DUMMYFUNCTION("""COMPUTED_VALUE"""),"Sombra")</f>
        <v>Sombra</v>
      </c>
      <c r="E149" s="64" t="str">
        <f ca="1">IFERROR(__xludf.DUMMYFUNCTION("""COMPUTED_VALUE"""),"Explode energizando plantas sombrias em uma área, e deixando um gás que machuca e deixa zumbis lentos.")</f>
        <v>Explode energizando plantas sombrias em uma área, e deixando um gás que machuca e deixa zumbis lentos.</v>
      </c>
      <c r="F149" s="64">
        <f ca="1">IFERROR(__xludf.DUMMYFUNCTION("""COMPUTED_VALUE"""),150)</f>
        <v>150</v>
      </c>
      <c r="G149" s="64">
        <f ca="1">IFERROR(__xludf.DUMMYFUNCTION("""COMPUTED_VALUE"""),1)</f>
        <v>1</v>
      </c>
      <c r="H149" s="64">
        <f ca="1">IFERROR(__xludf.DUMMYFUNCTION("""COMPUTED_VALUE"""),40)</f>
        <v>40</v>
      </c>
      <c r="I149" s="64">
        <f ca="1">IFERROR(__xludf.DUMMYFUNCTION("""COMPUTED_VALUE"""),15)</f>
        <v>15</v>
      </c>
      <c r="J149" s="64" t="str">
        <f ca="1">IFERROR(__xludf.DUMMYFUNCTION("""COMPUTED_VALUE"""),"No Plant Food effect")</f>
        <v>No Plant Food effect</v>
      </c>
      <c r="K149" s="64"/>
      <c r="L149" s="64" t="str">
        <f ca="1">IFERROR(__xludf.DUMMYFUNCTION("""COMPUTED_VALUE"""),"Special - Noctarine gas can power shadow plants
Special - Powered Noctarine gas slows zombies
Special - Powered Noctarine gas can create exploding zombies")</f>
        <v>Special - Noctarine gas can power shadow plants
Special - Powered Noctarine gas slows zombies
Special - Powered Noctarine gas can create exploding zombies</v>
      </c>
      <c r="M149" s="64" t="b">
        <f ca="1">IFERROR(__xludf.DUMMYFUNCTION("""COMPUTED_VALUE"""),TRUE)</f>
        <v>1</v>
      </c>
      <c r="N149" s="64" t="b">
        <f ca="1">IFERROR(__xludf.DUMMYFUNCTION("""COMPUTED_VALUE"""),TRUE)</f>
        <v>1</v>
      </c>
      <c r="O149" s="64">
        <f ca="1">IFERROR(__xludf.DUMMYFUNCTION("""COMPUTED_VALUE"""),0)</f>
        <v>0</v>
      </c>
      <c r="P149" s="64" t="str">
        <f ca="1">IFERROR(__xludf.DUMMYFUNCTION("""COMPUTED_VALUE"""),"Rare")</f>
        <v>Rare</v>
      </c>
      <c r="Q149" s="64" t="str">
        <f ca="1">IFERROR(__xludf.DUMMYFUNCTION("""COMPUTED_VALUE"""),"area-effect, poison, slowing")</f>
        <v>area-effect, poison, slowing</v>
      </c>
      <c r="R149" s="64" t="str">
        <f ca="1">IFERROR(__xludf.DUMMYFUNCTION("""COMPUTED_VALUE"""),"Fruit")</f>
        <v>Fruit</v>
      </c>
      <c r="S149" s="64" t="str">
        <f ca="1">IFERROR(__xludf.DUMMYFUNCTION("""COMPUTED_VALUE"""),"Sementium")</f>
        <v>Sementium</v>
      </c>
      <c r="T149" s="64" t="str">
        <f ca="1">IFERROR(__xludf.DUMMYFUNCTION("""COMPUTED_VALUE"""),"None")</f>
        <v>None</v>
      </c>
      <c r="U149" s="64" t="str">
        <f ca="1">IFERROR(__xludf.DUMMYFUNCTION("""COMPUTED_VALUE"""),"None")</f>
        <v>None</v>
      </c>
      <c r="V149" s="64" t="str">
        <f ca="1">IFERROR(__xludf.DUMMYFUNCTION("""COMPUTED_VALUE"""),"noctarine")</f>
        <v>noctarine</v>
      </c>
      <c r="W149" s="64" t="str">
        <f ca="1">IFERROR(__xludf.DUMMYFUNCTION("""COMPUTED_VALUE"""),"Special")</f>
        <v>Special</v>
      </c>
      <c r="X149" s="64" t="str">
        <f ca="1">IFERROR(__xludf.DUMMYFUNCTION("""COMPUTED_VALUE"""),"PvZ 2")</f>
        <v>PvZ 2</v>
      </c>
      <c r="Y149" s="65" t="str">
        <f ca="1">IFERROR(__xludf.DUMMYFUNCTION("""COMPUTED_VALUE"""),"https://static.wikia.nocookie.net/plantsvszombies/images/a/af/Noctarine2.png/revision/latest?cb=20210717084648")</f>
        <v>https://static.wikia.nocookie.net/plantsvszombies/images/a/af/Noctarine2.png/revision/latest?cb=20210717084648</v>
      </c>
    </row>
    <row r="150" spans="1:25" x14ac:dyDescent="0.2">
      <c r="A150" s="64">
        <f ca="1">IFERROR(__xludf.DUMMYFUNCTION("""COMPUTED_VALUE"""),149)</f>
        <v>149</v>
      </c>
      <c r="B150" s="64" t="str">
        <f ca="1">IFERROR(__xludf.DUMMYFUNCTION("""COMPUTED_VALUE"""),"Heath Seeker")</f>
        <v>Heath Seeker</v>
      </c>
      <c r="C150" s="64" t="str">
        <f ca="1">IFERROR(__xludf.DUMMYFUNCTION("""COMPUTED_VALUE"""),"Urze caçadora")</f>
        <v>Urze caçadora</v>
      </c>
      <c r="D150" s="64" t="str">
        <f ca="1">IFERROR(__xludf.DUMMYFUNCTION("""COMPUTED_VALUE"""),"Perfura")</f>
        <v>Perfura</v>
      </c>
      <c r="E150" s="64" t="str">
        <f ca="1">IFERROR(__xludf.DUMMYFUNCTION("""COMPUTED_VALUE"""),"Se detona lançando uma saraivada de dardos perfurantes.")</f>
        <v>Se detona lançando uma saraivada de dardos perfurantes.</v>
      </c>
      <c r="F150" s="64">
        <f ca="1">IFERROR(__xludf.DUMMYFUNCTION("""COMPUTED_VALUE"""),125)</f>
        <v>125</v>
      </c>
      <c r="G150" s="64">
        <f ca="1">IFERROR(__xludf.DUMMYFUNCTION("""COMPUTED_VALUE"""),1)</f>
        <v>1</v>
      </c>
      <c r="H150" s="64">
        <f ca="1">IFERROR(__xludf.DUMMYFUNCTION("""COMPUTED_VALUE"""),560)</f>
        <v>560</v>
      </c>
      <c r="I150" s="64">
        <f ca="1">IFERROR(__xludf.DUMMYFUNCTION("""COMPUTED_VALUE"""),20)</f>
        <v>20</v>
      </c>
      <c r="J150" s="64" t="str">
        <f ca="1">IFERROR(__xludf.DUMMYFUNCTION("""COMPUTED_VALUE"""),"No Plant Food effect")</f>
        <v>No Plant Food effect</v>
      </c>
      <c r="K150" s="64"/>
      <c r="L150" s="64" t="str">
        <f ca="1">IFERROR(__xludf.DUMMYFUNCTION("""COMPUTED_VALUE"""),"Special - Can target from anywhere on the lawn")</f>
        <v>Special - Can target from anywhere on the lawn</v>
      </c>
      <c r="M150" s="64" t="b">
        <f ca="1">IFERROR(__xludf.DUMMYFUNCTION("""COMPUTED_VALUE"""),TRUE)</f>
        <v>1</v>
      </c>
      <c r="N150" s="64" t="b">
        <f ca="1">IFERROR(__xludf.DUMMYFUNCTION("""COMPUTED_VALUE"""),TRUE)</f>
        <v>1</v>
      </c>
      <c r="O150" s="64">
        <f ca="1">IFERROR(__xludf.DUMMYFUNCTION("""COMPUTED_VALUE"""),0)</f>
        <v>0</v>
      </c>
      <c r="P150" s="64" t="str">
        <f ca="1">IFERROR(__xludf.DUMMYFUNCTION("""COMPUTED_VALUE"""),"Epic")</f>
        <v>Epic</v>
      </c>
      <c r="Q150" s="64" t="str">
        <f ca="1">IFERROR(__xludf.DUMMYFUNCTION("""COMPUTED_VALUE"""),"area-effect")</f>
        <v>area-effect</v>
      </c>
      <c r="R150" s="64" t="str">
        <f ca="1">IFERROR(__xludf.DUMMYFUNCTION("""COMPUTED_VALUE"""),"Flower")</f>
        <v>Flower</v>
      </c>
      <c r="S150" s="64" t="str">
        <f ca="1">IFERROR(__xludf.DUMMYFUNCTION("""COMPUTED_VALUE"""),"Sementium")</f>
        <v>Sementium</v>
      </c>
      <c r="T150" s="64" t="str">
        <f ca="1">IFERROR(__xludf.DUMMYFUNCTION("""COMPUTED_VALUE"""),"None")</f>
        <v>None</v>
      </c>
      <c r="U150" s="64" t="str">
        <f ca="1">IFERROR(__xludf.DUMMYFUNCTION("""COMPUTED_VALUE"""),"None")</f>
        <v>None</v>
      </c>
      <c r="V150" s="64" t="str">
        <f ca="1">IFERROR(__xludf.DUMMYFUNCTION("""COMPUTED_VALUE"""),"heathseeker")</f>
        <v>heathseeker</v>
      </c>
      <c r="W150" s="64" t="str">
        <f ca="1">IFERROR(__xludf.DUMMYFUNCTION("""COMPUTED_VALUE"""),"Ranged")</f>
        <v>Ranged</v>
      </c>
      <c r="X150" s="64" t="str">
        <f ca="1">IFERROR(__xludf.DUMMYFUNCTION("""COMPUTED_VALUE"""),"PvZ 2, PvZ 2 Chinease")</f>
        <v>PvZ 2, PvZ 2 Chinease</v>
      </c>
      <c r="Y150" s="65" t="str">
        <f ca="1">IFERROR(__xludf.DUMMYFUNCTION("""COMPUTED_VALUE"""),"https://static.wikia.nocookie.net/plantsvszombies/images/4/49/Heath_Seeker2.png/revision/latest?cb=20210916015504")</f>
        <v>https://static.wikia.nocookie.net/plantsvszombies/images/4/49/Heath_Seeker2.png/revision/latest?cb=20210916015504</v>
      </c>
    </row>
    <row r="151" spans="1:25" x14ac:dyDescent="0.2">
      <c r="A151" s="64">
        <f ca="1">IFERROR(__xludf.DUMMYFUNCTION("""COMPUTED_VALUE"""),150)</f>
        <v>150</v>
      </c>
      <c r="B151" s="64" t="str">
        <f ca="1">IFERROR(__xludf.DUMMYFUNCTION("""COMPUTED_VALUE"""),"Iceweed")</f>
        <v>Iceweed</v>
      </c>
      <c r="C151" s="64" t="str">
        <f ca="1">IFERROR(__xludf.DUMMYFUNCTION("""COMPUTED_VALUE"""),"Hera do gelo")</f>
        <v>Hera do gelo</v>
      </c>
      <c r="D151" s="64" t="str">
        <f ca="1">IFERROR(__xludf.DUMMYFUNCTION("""COMPUTED_VALUE"""),"Resfriada")</f>
        <v>Resfriada</v>
      </c>
      <c r="E151" s="64" t="str">
        <f ca="1">IFERROR(__xludf.DUMMYFUNCTION("""COMPUTED_VALUE"""),"Machuca os zumbis que passam por ele além de resfria-los.")</f>
        <v>Machuca os zumbis que passam por ele além de resfria-los.</v>
      </c>
      <c r="F151" s="64">
        <f ca="1">IFERROR(__xludf.DUMMYFUNCTION("""COMPUTED_VALUE"""),150)</f>
        <v>150</v>
      </c>
      <c r="G151" s="64">
        <f ca="1">IFERROR(__xludf.DUMMYFUNCTION("""COMPUTED_VALUE"""),300)</f>
        <v>300</v>
      </c>
      <c r="H151" s="64">
        <f ca="1">IFERROR(__xludf.DUMMYFUNCTION("""COMPUTED_VALUE"""),10)</f>
        <v>10</v>
      </c>
      <c r="I151" s="64">
        <f ca="1">IFERROR(__xludf.DUMMYFUNCTION("""COMPUTED_VALUE"""),5)</f>
        <v>5</v>
      </c>
      <c r="J151" s="64" t="str">
        <f ca="1">IFERROR(__xludf.DUMMYFUNCTION("""COMPUTED_VALUE"""),"Summons a sawblade that knockbacks and freezes all zombies in the column. Permanently increases damage.")</f>
        <v>Summons a sawblade that knockbacks and freezes all zombies in the column. Permanently increases damage.</v>
      </c>
      <c r="K151" s="64"/>
      <c r="L151" s="64"/>
      <c r="M151" s="64" t="b">
        <f ca="1">IFERROR(__xludf.DUMMYFUNCTION("""COMPUTED_VALUE"""),FALSE)</f>
        <v>0</v>
      </c>
      <c r="N151" s="64" t="b">
        <f ca="1">IFERROR(__xludf.DUMMYFUNCTION("""COMPUTED_VALUE"""),FALSE)</f>
        <v>0</v>
      </c>
      <c r="O151" s="64">
        <f ca="1">IFERROR(__xludf.DUMMYFUNCTION("""COMPUTED_VALUE"""),0)</f>
        <v>0</v>
      </c>
      <c r="P151" s="64" t="str">
        <f ca="1">IFERROR(__xludf.DUMMYFUNCTION("""COMPUTED_VALUE"""),"Epic")</f>
        <v>Epic</v>
      </c>
      <c r="Q151" s="64" t="str">
        <f ca="1">IFERROR(__xludf.DUMMYFUNCTION("""COMPUTED_VALUE"""),"grounded, spikes, chilling")</f>
        <v>grounded, spikes, chilling</v>
      </c>
      <c r="R151" s="64" t="str">
        <f ca="1">IFERROR(__xludf.DUMMYFUNCTION("""COMPUTED_VALUE"""),"Root")</f>
        <v>Root</v>
      </c>
      <c r="S151" s="64" t="str">
        <f ca="1">IFERROR(__xludf.DUMMYFUNCTION("""COMPUTED_VALUE"""),"Sementium")</f>
        <v>Sementium</v>
      </c>
      <c r="T151" s="64" t="str">
        <f ca="1">IFERROR(__xludf.DUMMYFUNCTION("""COMPUTED_VALUE"""),"None")</f>
        <v>None</v>
      </c>
      <c r="U151" s="64" t="str">
        <f ca="1">IFERROR(__xludf.DUMMYFUNCTION("""COMPUTED_VALUE"""),"None")</f>
        <v>None</v>
      </c>
      <c r="V151" s="64" t="str">
        <f ca="1">IFERROR(__xludf.DUMMYFUNCTION("""COMPUTED_VALUE"""),"iceweed")</f>
        <v>iceweed</v>
      </c>
      <c r="W151" s="64" t="str">
        <f ca="1">IFERROR(__xludf.DUMMYFUNCTION("""COMPUTED_VALUE"""),"Special")</f>
        <v>Special</v>
      </c>
      <c r="X151" s="64" t="str">
        <f ca="1">IFERROR(__xludf.DUMMYFUNCTION("""COMPUTED_VALUE"""),"PvZ 2")</f>
        <v>PvZ 2</v>
      </c>
      <c r="Y151" s="65" t="str">
        <f ca="1">IFERROR(__xludf.DUMMYFUNCTION("""COMPUTED_VALUE"""),"https://static.wikia.nocookie.net/plantsvszombies/images/d/d9/Iceweed2.png/revision/latest?cb=20211115203447")</f>
        <v>https://static.wikia.nocookie.net/plantsvszombies/images/d/d9/Iceweed2.png/revision/latest?cb=20211115203447</v>
      </c>
    </row>
    <row r="152" spans="1:25" x14ac:dyDescent="0.2">
      <c r="A152" s="64">
        <f ca="1">IFERROR(__xludf.DUMMYFUNCTION("""COMPUTED_VALUE"""),151)</f>
        <v>151</v>
      </c>
      <c r="B152" s="64" t="str">
        <f ca="1">IFERROR(__xludf.DUMMYFUNCTION("""COMPUTED_VALUE"""),"Tiger Grass")</f>
        <v>Tiger Grass</v>
      </c>
      <c r="C152" s="64" t="str">
        <f ca="1">IFERROR(__xludf.DUMMYFUNCTION("""COMPUTED_VALUE"""),"Grama Tigre")</f>
        <v>Grama Tigre</v>
      </c>
      <c r="D152" s="64" t="str">
        <f ca="1">IFERROR(__xludf.DUMMYFUNCTION("""COMPUTED_VALUE"""),"Surra")</f>
        <v>Surra</v>
      </c>
      <c r="E152" s="64" t="str">
        <f ca="1">IFERROR(__xludf.DUMMYFUNCTION("""COMPUTED_VALUE"""),"Invoca um tigre grama que golpeia zumbis próximos, crescendo com o tempo.")</f>
        <v>Invoca um tigre grama que golpeia zumbis próximos, crescendo com o tempo.</v>
      </c>
      <c r="F152" s="64">
        <f ca="1">IFERROR(__xludf.DUMMYFUNCTION("""COMPUTED_VALUE"""),150)</f>
        <v>150</v>
      </c>
      <c r="G152" s="64">
        <f ca="1">IFERROR(__xludf.DUMMYFUNCTION("""COMPUTED_VALUE"""),300)</f>
        <v>300</v>
      </c>
      <c r="H152" s="64">
        <f ca="1">IFERROR(__xludf.DUMMYFUNCTION("""COMPUTED_VALUE"""),40)</f>
        <v>40</v>
      </c>
      <c r="I152" s="64">
        <f ca="1">IFERROR(__xludf.DUMMYFUNCTION("""COMPUTED_VALUE"""),7)</f>
        <v>7</v>
      </c>
      <c r="J152" s="64" t="str">
        <f ca="1">IFERROR(__xludf.DUMMYFUNCTION("""COMPUTED_VALUE"""),"Spawn a fully grown grass tiger that deals a large amount of damage to a zombie.")</f>
        <v>Spawn a fully grown grass tiger that deals a large amount of damage to a zombie.</v>
      </c>
      <c r="K152" s="64"/>
      <c r="L152" s="64" t="str">
        <f ca="1">IFERROR(__xludf.DUMMYFUNCTION("""COMPUTED_VALUE"""),"Special - Grass tiger grows over time")</f>
        <v>Special - Grass tiger grows over time</v>
      </c>
      <c r="M152" s="64" t="b">
        <f ca="1">IFERROR(__xludf.DUMMYFUNCTION("""COMPUTED_VALUE"""),FALSE)</f>
        <v>0</v>
      </c>
      <c r="N152" s="64" t="b">
        <f ca="1">IFERROR(__xludf.DUMMYFUNCTION("""COMPUTED_VALUE"""),FALSE)</f>
        <v>0</v>
      </c>
      <c r="O152" s="64">
        <f ca="1">IFERROR(__xludf.DUMMYFUNCTION("""COMPUTED_VALUE"""),0)</f>
        <v>0</v>
      </c>
      <c r="P152" s="64" t="str">
        <f ca="1">IFERROR(__xludf.DUMMYFUNCTION("""COMPUTED_VALUE"""),"Mythical")</f>
        <v>Mythical</v>
      </c>
      <c r="Q152" s="64" t="str">
        <f ca="1">IFERROR(__xludf.DUMMYFUNCTION("""COMPUTED_VALUE"""),"zodiac")</f>
        <v>zodiac</v>
      </c>
      <c r="R152" s="64" t="str">
        <f ca="1">IFERROR(__xludf.DUMMYFUNCTION("""COMPUTED_VALUE"""),"Leaf")</f>
        <v>Leaf</v>
      </c>
      <c r="S152" s="64" t="str">
        <f ca="1">IFERROR(__xludf.DUMMYFUNCTION("""COMPUTED_VALUE"""),"Sementium")</f>
        <v>Sementium</v>
      </c>
      <c r="T152" s="64" t="str">
        <f ca="1">IFERROR(__xludf.DUMMYFUNCTION("""COMPUTED_VALUE"""),"525")</f>
        <v>525</v>
      </c>
      <c r="U152" s="64" t="str">
        <f ca="1">IFERROR(__xludf.DUMMYFUNCTION("""COMPUTED_VALUE"""),"None")</f>
        <v>None</v>
      </c>
      <c r="V152" s="64" t="str">
        <f ca="1">IFERROR(__xludf.DUMMYFUNCTION("""COMPUTED_VALUE"""),"tigergrass")</f>
        <v>tigergrass</v>
      </c>
      <c r="W152" s="64" t="str">
        <f ca="1">IFERROR(__xludf.DUMMYFUNCTION("""COMPUTED_VALUE"""),"Vanguard")</f>
        <v>Vanguard</v>
      </c>
      <c r="X152" s="64" t="str">
        <f ca="1">IFERROR(__xludf.DUMMYFUNCTION("""COMPUTED_VALUE"""),"PvZ 2")</f>
        <v>PvZ 2</v>
      </c>
      <c r="Y152" s="65" t="str">
        <f ca="1">IFERROR(__xludf.DUMMYFUNCTION("""COMPUTED_VALUE"""),"https://static.wikia.nocookie.net/plantsvszombies/images/6/6f/Tiger_Grass2.png/revision/latest?cb=20211212021638")</f>
        <v>https://static.wikia.nocookie.net/plantsvszombies/images/6/6f/Tiger_Grass2.png/revision/latest?cb=20211212021638</v>
      </c>
    </row>
    <row r="153" spans="1:25" x14ac:dyDescent="0.2">
      <c r="A153" s="64">
        <f ca="1">IFERROR(__xludf.DUMMYFUNCTION("""COMPUTED_VALUE"""),152)</f>
        <v>152</v>
      </c>
      <c r="B153" s="64" t="str">
        <f ca="1">IFERROR(__xludf.DUMMYFUNCTION("""COMPUTED_VALUE"""),"Teleportato Mine")</f>
        <v>Teleportato Mine</v>
      </c>
      <c r="C153" s="64" t="str">
        <f ca="1">IFERROR(__xludf.DUMMYFUNCTION("""COMPUTED_VALUE"""),"Telebatata Mina")</f>
        <v>Telebatata Mina</v>
      </c>
      <c r="D153" s="64" t="str">
        <f ca="1">IFERROR(__xludf.DUMMYFUNCTION("""COMPUTED_VALUE"""),"Bombarda")</f>
        <v>Bombarda</v>
      </c>
      <c r="E153" s="64" t="str">
        <f ca="1">IFERROR(__xludf.DUMMYFUNCTION("""COMPUTED_VALUE"""),"Teleporta os zumbis para a sua posição e explode.")</f>
        <v>Teleporta os zumbis para a sua posição e explode.</v>
      </c>
      <c r="F153" s="64">
        <f ca="1">IFERROR(__xludf.DUMMYFUNCTION("""COMPUTED_VALUE"""),75)</f>
        <v>75</v>
      </c>
      <c r="G153" s="64">
        <f ca="1">IFERROR(__xludf.DUMMYFUNCTION("""COMPUTED_VALUE"""),300)</f>
        <v>300</v>
      </c>
      <c r="H153" s="64">
        <f ca="1">IFERROR(__xludf.DUMMYFUNCTION("""COMPUTED_VALUE"""),2200)</f>
        <v>2200</v>
      </c>
      <c r="I153" s="64">
        <f ca="1">IFERROR(__xludf.DUMMYFUNCTION("""COMPUTED_VALUE"""),20)</f>
        <v>20</v>
      </c>
      <c r="J153" s="64" t="str">
        <f ca="1">IFERROR(__xludf.DUMMYFUNCTION("""COMPUTED_VALUE"""),"No Plant Food effect")</f>
        <v>No Plant Food effect</v>
      </c>
      <c r="K153" s="64"/>
      <c r="L153" s="64"/>
      <c r="M153" s="64" t="b">
        <f ca="1">IFERROR(__xludf.DUMMYFUNCTION("""COMPUTED_VALUE"""),TRUE)</f>
        <v>1</v>
      </c>
      <c r="N153" s="64" t="b">
        <f ca="1">IFERROR(__xludf.DUMMYFUNCTION("""COMPUTED_VALUE"""),TRUE)</f>
        <v>1</v>
      </c>
      <c r="O153" s="64">
        <f ca="1">IFERROR(__xludf.DUMMYFUNCTION("""COMPUTED_VALUE"""),0)</f>
        <v>0</v>
      </c>
      <c r="P153" s="64" t="str">
        <f ca="1">IFERROR(__xludf.DUMMYFUNCTION("""COMPUTED_VALUE"""),"Epic")</f>
        <v>Epic</v>
      </c>
      <c r="Q153" s="64" t="str">
        <f ca="1">IFERROR(__xludf.DUMMYFUNCTION("""COMPUTED_VALUE"""),"control, explosion, area-effect")</f>
        <v>control, explosion, area-effect</v>
      </c>
      <c r="R153" s="64" t="str">
        <f ca="1">IFERROR(__xludf.DUMMYFUNCTION("""COMPUTED_VALUE"""),"Root")</f>
        <v>Root</v>
      </c>
      <c r="S153" s="64" t="str">
        <f ca="1">IFERROR(__xludf.DUMMYFUNCTION("""COMPUTED_VALUE"""),"Sementium")</f>
        <v>Sementium</v>
      </c>
      <c r="T153" s="64" t="str">
        <f ca="1">IFERROR(__xludf.DUMMYFUNCTION("""COMPUTED_VALUE"""),"None")</f>
        <v>None</v>
      </c>
      <c r="U153" s="64" t="str">
        <f ca="1">IFERROR(__xludf.DUMMYFUNCTION("""COMPUTED_VALUE"""),"None")</f>
        <v>None</v>
      </c>
      <c r="V153" s="64" t="str">
        <f ca="1">IFERROR(__xludf.DUMMYFUNCTION("""COMPUTED_VALUE"""),"teleportatomine")</f>
        <v>teleportatomine</v>
      </c>
      <c r="W153" s="64" t="str">
        <f ca="1">IFERROR(__xludf.DUMMYFUNCTION("""COMPUTED_VALUE"""),"Special")</f>
        <v>Special</v>
      </c>
      <c r="X153" s="64" t="str">
        <f ca="1">IFERROR(__xludf.DUMMYFUNCTION("""COMPUTED_VALUE"""),"PvZ 2")</f>
        <v>PvZ 2</v>
      </c>
      <c r="Y153" s="65" t="str">
        <f ca="1">IFERROR(__xludf.DUMMYFUNCTION("""COMPUTED_VALUE"""),"https://static.wikia.nocookie.net/plantsvszombies/images/1/1b/Teleportato_Mine2.png/revision/latest?cb=20211212021625")</f>
        <v>https://static.wikia.nocookie.net/plantsvszombies/images/1/1b/Teleportato_Mine2.png/revision/latest?cb=20211212021625</v>
      </c>
    </row>
    <row r="154" spans="1:25" x14ac:dyDescent="0.2">
      <c r="A154" s="64">
        <f ca="1">IFERROR(__xludf.DUMMYFUNCTION("""COMPUTED_VALUE"""),153)</f>
        <v>153</v>
      </c>
      <c r="B154" s="64" t="str">
        <f ca="1">IFERROR(__xludf.DUMMYFUNCTION("""COMPUTED_VALUE"""),"Blockoli")</f>
        <v>Blockoli</v>
      </c>
      <c r="C154" s="64" t="str">
        <f ca="1">IFERROR(__xludf.DUMMYFUNCTION("""COMPUTED_VALUE"""),"Blócoli")</f>
        <v>Blócoli</v>
      </c>
      <c r="D154" s="64" t="str">
        <f ca="1">IFERROR(__xludf.DUMMYFUNCTION("""COMPUTED_VALUE"""),"Endurecida")</f>
        <v>Endurecida</v>
      </c>
      <c r="E154" s="64" t="str">
        <f ca="1">IFERROR(__xludf.DUMMYFUNCTION("""COMPUTED_VALUE"""),"Entre em posição defensiva atordoando zumbis próximos.")</f>
        <v>Entre em posição defensiva atordoando zumbis próximos.</v>
      </c>
      <c r="F154" s="64">
        <f ca="1">IFERROR(__xludf.DUMMYFUNCTION("""COMPUTED_VALUE"""),150)</f>
        <v>150</v>
      </c>
      <c r="G154" s="64">
        <f ca="1">IFERROR(__xludf.DUMMYFUNCTION("""COMPUTED_VALUE"""),6000)</f>
        <v>6000</v>
      </c>
      <c r="H154" s="64">
        <f ca="1">IFERROR(__xludf.DUMMYFUNCTION("""COMPUTED_VALUE"""),95)</f>
        <v>95</v>
      </c>
      <c r="I154" s="64">
        <f ca="1">IFERROR(__xludf.DUMMYFUNCTION("""COMPUTED_VALUE"""),15)</f>
        <v>15</v>
      </c>
      <c r="J154" s="64" t="str">
        <f ca="1">IFERROR(__xludf.DUMMYFUNCTION("""COMPUTED_VALUE"""),"Swings his florets around dealing damage and stunning Zombies in the surrounding area. Gain two iron shields that can absorb a large amount of damage.")</f>
        <v>Swings his florets around dealing damage and stunning Zombies in the surrounding area. Gain two iron shields that can absorb a large amount of damage.</v>
      </c>
      <c r="K154" s="64"/>
      <c r="L154" s="64"/>
      <c r="M154" s="64" t="b">
        <f ca="1">IFERROR(__xludf.DUMMYFUNCTION("""COMPUTED_VALUE"""),FALSE)</f>
        <v>0</v>
      </c>
      <c r="N154" s="64" t="b">
        <f ca="1">IFERROR(__xludf.DUMMYFUNCTION("""COMPUTED_VALUE"""),FALSE)</f>
        <v>0</v>
      </c>
      <c r="O154" s="64">
        <f ca="1">IFERROR(__xludf.DUMMYFUNCTION("""COMPUTED_VALUE"""),0)</f>
        <v>0</v>
      </c>
      <c r="P154" s="64" t="str">
        <f ca="1">IFERROR(__xludf.DUMMYFUNCTION("""COMPUTED_VALUE"""),"Mythical")</f>
        <v>Mythical</v>
      </c>
      <c r="Q154" s="64" t="str">
        <f ca="1">IFERROR(__xludf.DUMMYFUNCTION("""COMPUTED_VALUE"""),"stun")</f>
        <v>stun</v>
      </c>
      <c r="R154" s="64" t="str">
        <f ca="1">IFERROR(__xludf.DUMMYFUNCTION("""COMPUTED_VALUE"""),"Vegetable")</f>
        <v>Vegetable</v>
      </c>
      <c r="S154" s="64" t="str">
        <f ca="1">IFERROR(__xludf.DUMMYFUNCTION("""COMPUTED_VALUE"""),"Sementium")</f>
        <v>Sementium</v>
      </c>
      <c r="T154" s="64" t="str">
        <f ca="1">IFERROR(__xludf.DUMMYFUNCTION("""COMPUTED_VALUE"""),"None")</f>
        <v>None</v>
      </c>
      <c r="U154" s="64" t="str">
        <f ca="1">IFERROR(__xludf.DUMMYFUNCTION("""COMPUTED_VALUE"""),"None")</f>
        <v>None</v>
      </c>
      <c r="V154" s="64" t="str">
        <f ca="1">IFERROR(__xludf.DUMMYFUNCTION("""COMPUTED_VALUE"""),"blockoli")</f>
        <v>blockoli</v>
      </c>
      <c r="W154" s="64" t="str">
        <f ca="1">IFERROR(__xludf.DUMMYFUNCTION("""COMPUTED_VALUE"""),"Tough")</f>
        <v>Tough</v>
      </c>
      <c r="X154" s="64" t="str">
        <f ca="1">IFERROR(__xludf.DUMMYFUNCTION("""COMPUTED_VALUE"""),"PvZ 2")</f>
        <v>PvZ 2</v>
      </c>
      <c r="Y154" s="65" t="str">
        <f ca="1">IFERROR(__xludf.DUMMYFUNCTION("""COMPUTED_VALUE"""),"https://static.wikia.nocookie.net/plantsvszombies/images/2/2a/Blockoli2.png/revision/latest?cb=20220206062157")</f>
        <v>https://static.wikia.nocookie.net/plantsvszombies/images/2/2a/Blockoli2.png/revision/latest?cb=20220206062157</v>
      </c>
    </row>
    <row r="155" spans="1:25" x14ac:dyDescent="0.2">
      <c r="A155" s="64">
        <f ca="1">IFERROR(__xludf.DUMMYFUNCTION("""COMPUTED_VALUE"""),154)</f>
        <v>154</v>
      </c>
      <c r="B155" s="64" t="str">
        <f ca="1">IFERROR(__xludf.DUMMYFUNCTION("""COMPUTED_VALUE"""),"Buttercup")</f>
        <v>Buttercup</v>
      </c>
      <c r="C155" s="64" t="str">
        <f ca="1">IFERROR(__xludf.DUMMYFUNCTION("""COMPUTED_VALUE"""),"Douradinha")</f>
        <v>Douradinha</v>
      </c>
      <c r="D155" s="64" t="str">
        <f ca="1">IFERROR(__xludf.DUMMYFUNCTION("""COMPUTED_VALUE"""),"Refrea")</f>
        <v>Refrea</v>
      </c>
      <c r="E155" s="64" t="str">
        <f ca="1">IFERROR(__xludf.DUMMYFUNCTION("""COMPUTED_VALUE"""),"Lança manteiga no zumbi atacante, paralizando-o com a manteiga.")</f>
        <v>Lança manteiga no zumbi atacante, paralizando-o com a manteiga.</v>
      </c>
      <c r="F155" s="64">
        <f ca="1">IFERROR(__xludf.DUMMYFUNCTION("""COMPUTED_VALUE"""),25)</f>
        <v>25</v>
      </c>
      <c r="G155" s="64">
        <f ca="1">IFERROR(__xludf.DUMMYFUNCTION("""COMPUTED_VALUE"""),900)</f>
        <v>900</v>
      </c>
      <c r="H155" s="64">
        <f ca="1">IFERROR(__xludf.DUMMYFUNCTION("""COMPUTED_VALUE"""),100)</f>
        <v>100</v>
      </c>
      <c r="I155" s="64">
        <f ca="1">IFERROR(__xludf.DUMMYFUNCTION("""COMPUTED_VALUE"""),10)</f>
        <v>10</v>
      </c>
      <c r="J155" s="64" t="str">
        <f ca="1">IFERROR(__xludf.DUMMYFUNCTION("""COMPUTED_VALUE"""),"Throws butter immediately in front of her, dealing damage and stunning zombies for a long duration.")</f>
        <v>Throws butter immediately in front of her, dealing damage and stunning zombies for a long duration.</v>
      </c>
      <c r="K155" s="64"/>
      <c r="L155" s="64" t="str">
        <f ca="1">IFERROR(__xludf.DUMMYFUNCTION("""COMPUTED_VALUE"""),"Special - Creates buttering butter splats")</f>
        <v>Special - Creates buttering butter splats</v>
      </c>
      <c r="M155" s="64" t="b">
        <f ca="1">IFERROR(__xludf.DUMMYFUNCTION("""COMPUTED_VALUE"""),FALSE)</f>
        <v>0</v>
      </c>
      <c r="N155" s="64" t="b">
        <f ca="1">IFERROR(__xludf.DUMMYFUNCTION("""COMPUTED_VALUE"""),FALSE)</f>
        <v>0</v>
      </c>
      <c r="O155" s="64">
        <f ca="1">IFERROR(__xludf.DUMMYFUNCTION("""COMPUTED_VALUE"""),0)</f>
        <v>0</v>
      </c>
      <c r="P155" s="64" t="str">
        <f ca="1">IFERROR(__xludf.DUMMYFUNCTION("""COMPUTED_VALUE"""),"Rare")</f>
        <v>Rare</v>
      </c>
      <c r="Q155" s="64" t="str">
        <f ca="1">IFERROR(__xludf.DUMMYFUNCTION("""COMPUTED_VALUE"""),"butter")</f>
        <v>butter</v>
      </c>
      <c r="R155" s="64" t="str">
        <f ca="1">IFERROR(__xludf.DUMMYFUNCTION("""COMPUTED_VALUE"""),"Flower")</f>
        <v>Flower</v>
      </c>
      <c r="S155" s="64" t="str">
        <f ca="1">IFERROR(__xludf.DUMMYFUNCTION("""COMPUTED_VALUE"""),"Sementium")</f>
        <v>Sementium</v>
      </c>
      <c r="T155" s="64" t="str">
        <f ca="1">IFERROR(__xludf.DUMMYFUNCTION("""COMPUTED_VALUE"""),"None")</f>
        <v>None</v>
      </c>
      <c r="U155" s="64" t="str">
        <f ca="1">IFERROR(__xludf.DUMMYFUNCTION("""COMPUTED_VALUE"""),"None")</f>
        <v>None</v>
      </c>
      <c r="V155" s="64" t="str">
        <f ca="1">IFERROR(__xludf.DUMMYFUNCTION("""COMPUTED_VALUE"""),"buttercup")</f>
        <v>buttercup</v>
      </c>
      <c r="W155" s="64" t="str">
        <f ca="1">IFERROR(__xludf.DUMMYFUNCTION("""COMPUTED_VALUE"""),"Ranged")</f>
        <v>Ranged</v>
      </c>
      <c r="X155" s="64" t="str">
        <f ca="1">IFERROR(__xludf.DUMMYFUNCTION("""COMPUTED_VALUE"""),"PvZ 2, PvZ 2 Chinease")</f>
        <v>PvZ 2, PvZ 2 Chinease</v>
      </c>
      <c r="Y155" s="65" t="str">
        <f ca="1">IFERROR(__xludf.DUMMYFUNCTION("""COMPUTED_VALUE"""),"https://static.wikia.nocookie.net/plantsvszombies/images/6/64/Buttercup2.png/revision/latest?cb=20220205081753")</f>
        <v>https://static.wikia.nocookie.net/plantsvszombies/images/6/64/Buttercup2.png/revision/latest?cb=20220205081753</v>
      </c>
    </row>
    <row r="156" spans="1:25" x14ac:dyDescent="0.2">
      <c r="A156" s="64">
        <f ca="1">IFERROR(__xludf.DUMMYFUNCTION("""COMPUTED_VALUE"""),155)</f>
        <v>155</v>
      </c>
      <c r="B156" s="64" t="str">
        <f ca="1">IFERROR(__xludf.DUMMYFUNCTION("""COMPUTED_VALUE"""),"Bramble Bush")</f>
        <v>Bramble Bush</v>
      </c>
      <c r="C156" s="64" t="str">
        <f ca="1">IFERROR(__xludf.DUMMYFUNCTION("""COMPUTED_VALUE"""),"Armora")</f>
        <v>Armora</v>
      </c>
      <c r="D156" s="64" t="str">
        <f ca="1">IFERROR(__xludf.DUMMYFUNCTION("""COMPUTED_VALUE"""),"Perfura")</f>
        <v>Perfura</v>
      </c>
      <c r="E156" s="64" t="str">
        <f ca="1">IFERROR(__xludf.DUMMYFUNCTION("""COMPUTED_VALUE"""),"Prende e golpeia um zumbi que passe por ele, as bagas mostram o número de armadilhas disponíveis.")</f>
        <v>Prende e golpeia um zumbi que passe por ele, as bagas mostram o número de armadilhas disponíveis.</v>
      </c>
      <c r="F156" s="64">
        <f ca="1">IFERROR(__xludf.DUMMYFUNCTION("""COMPUTED_VALUE"""),125)</f>
        <v>125</v>
      </c>
      <c r="G156" s="64">
        <f ca="1">IFERROR(__xludf.DUMMYFUNCTION("""COMPUTED_VALUE"""),1500)</f>
        <v>1500</v>
      </c>
      <c r="H156" s="64">
        <f ca="1">IFERROR(__xludf.DUMMYFUNCTION("""COMPUTED_VALUE"""),30)</f>
        <v>30</v>
      </c>
      <c r="I156" s="64">
        <f ca="1">IFERROR(__xludf.DUMMYFUNCTION("""COMPUTED_VALUE"""),5)</f>
        <v>5</v>
      </c>
      <c r="J156" s="64" t="str">
        <f ca="1">IFERROR(__xludf.DUMMYFUNCTION("""COMPUTED_VALUE"""),"Regenerate all of his berry traps and trap the leftmost zombie in his column, dealing 2x damage for a short duration.")</f>
        <v>Regenerate all of his berry traps and trap the leftmost zombie in his column, dealing 2x damage for a short duration.</v>
      </c>
      <c r="K156" s="64"/>
      <c r="L156" s="64"/>
      <c r="M156" s="64" t="b">
        <f ca="1">IFERROR(__xludf.DUMMYFUNCTION("""COMPUTED_VALUE"""),FALSE)</f>
        <v>0</v>
      </c>
      <c r="N156" s="64" t="b">
        <f ca="1">IFERROR(__xludf.DUMMYFUNCTION("""COMPUTED_VALUE"""),FALSE)</f>
        <v>0</v>
      </c>
      <c r="O156" s="64">
        <f ca="1">IFERROR(__xludf.DUMMYFUNCTION("""COMPUTED_VALUE"""),0)</f>
        <v>0</v>
      </c>
      <c r="P156" s="64" t="str">
        <f ca="1">IFERROR(__xludf.DUMMYFUNCTION("""COMPUTED_VALUE"""),"Rare")</f>
        <v>Rare</v>
      </c>
      <c r="Q156" s="64" t="str">
        <f ca="1">IFERROR(__xludf.DUMMYFUNCTION("""COMPUTED_VALUE"""),"grounded, spikes")</f>
        <v>grounded, spikes</v>
      </c>
      <c r="R156" s="64" t="str">
        <f ca="1">IFERROR(__xludf.DUMMYFUNCTION("""COMPUTED_VALUE"""),"Berry")</f>
        <v>Berry</v>
      </c>
      <c r="S156" s="64" t="str">
        <f ca="1">IFERROR(__xludf.DUMMYFUNCTION("""COMPUTED_VALUE"""),"Sementium")</f>
        <v>Sementium</v>
      </c>
      <c r="T156" s="64" t="str">
        <f ca="1">IFERROR(__xludf.DUMMYFUNCTION("""COMPUTED_VALUE"""),"None")</f>
        <v>None</v>
      </c>
      <c r="U156" s="64" t="str">
        <f ca="1">IFERROR(__xludf.DUMMYFUNCTION("""COMPUTED_VALUE"""),"None")</f>
        <v>None</v>
      </c>
      <c r="V156" s="64" t="str">
        <f ca="1">IFERROR(__xludf.DUMMYFUNCTION("""COMPUTED_VALUE"""),"bramblebush")</f>
        <v>bramblebush</v>
      </c>
      <c r="W156" s="64" t="str">
        <f ca="1">IFERROR(__xludf.DUMMYFUNCTION("""COMPUTED_VALUE"""),"Special")</f>
        <v>Special</v>
      </c>
      <c r="X156" s="64" t="str">
        <f ca="1">IFERROR(__xludf.DUMMYFUNCTION("""COMPUTED_VALUE"""),"PvZ 2")</f>
        <v>PvZ 2</v>
      </c>
      <c r="Y156" s="65" t="str">
        <f ca="1">IFERROR(__xludf.DUMMYFUNCTION("""COMPUTED_VALUE"""),"https://static.wikia.nocookie.net/plantsvszombies/images/f/fb/Bramble_Bush2.png/revision/latest?cb=20220404224349")</f>
        <v>https://static.wikia.nocookie.net/plantsvszombies/images/f/fb/Bramble_Bush2.png/revision/latest?cb=20220404224349</v>
      </c>
    </row>
    <row r="157" spans="1:25" x14ac:dyDescent="0.2">
      <c r="A157" s="64">
        <f ca="1">IFERROR(__xludf.DUMMYFUNCTION("""COMPUTED_VALUE"""),156)</f>
        <v>156</v>
      </c>
      <c r="B157" s="64" t="str">
        <f ca="1">IFERROR(__xludf.DUMMYFUNCTION("""COMPUTED_VALUE"""),"Rhubarbarian ")</f>
        <v xml:space="preserve">Rhubarbarian </v>
      </c>
      <c r="C157" s="64" t="str">
        <f ca="1">IFERROR(__xludf.DUMMYFUNCTION("""COMPUTED_VALUE"""),"Ruibárbaro")</f>
        <v>Ruibárbaro</v>
      </c>
      <c r="D157" s="64" t="str">
        <f ca="1">IFERROR(__xludf.DUMMYFUNCTION("""COMPUTED_VALUE"""),"Surra")</f>
        <v>Surra</v>
      </c>
      <c r="E157" s="64" t="str">
        <f ca="1">IFERROR(__xludf.DUMMYFUNCTION("""COMPUTED_VALUE"""),"Chega com um impacto, golpeando ferozmente os oponentes, quando o oponente é nocauteado, ele avança para o próximo inimigo na fileira, até sair por completo ou acabar o tempo.")</f>
        <v>Chega com um impacto, golpeando ferozmente os oponentes, quando o oponente é nocauteado, ele avança para o próximo inimigo na fileira, até sair por completo ou acabar o tempo.</v>
      </c>
      <c r="F157" s="64">
        <f ca="1">IFERROR(__xludf.DUMMYFUNCTION("""COMPUTED_VALUE"""),100)</f>
        <v>100</v>
      </c>
      <c r="G157" s="64">
        <f ca="1">IFERROR(__xludf.DUMMYFUNCTION("""COMPUTED_VALUE"""),1)</f>
        <v>1</v>
      </c>
      <c r="H157" s="64">
        <f ca="1">IFERROR(__xludf.DUMMYFUNCTION("""COMPUTED_VALUE"""),50)</f>
        <v>50</v>
      </c>
      <c r="I157" s="64">
        <f ca="1">IFERROR(__xludf.DUMMYFUNCTION("""COMPUTED_VALUE"""),20)</f>
        <v>20</v>
      </c>
      <c r="J157" s="64" t="str">
        <f ca="1">IFERROR(__xludf.DUMMYFUNCTION("""COMPUTED_VALUE"""),"No Plant Food effect")</f>
        <v>No Plant Food effect</v>
      </c>
      <c r="K157" s="64"/>
      <c r="L157" s="64" t="str">
        <f ca="1">IFERROR(__xludf.DUMMYFUNCTION("""COMPUTED_VALUE"""),"Somersaults forward if runs out of stuff to punch")</f>
        <v>Somersaults forward if runs out of stuff to punch</v>
      </c>
      <c r="M157" s="64" t="b">
        <f ca="1">IFERROR(__xludf.DUMMYFUNCTION("""COMPUTED_VALUE"""),TRUE)</f>
        <v>1</v>
      </c>
      <c r="N157" s="64" t="b">
        <f ca="1">IFERROR(__xludf.DUMMYFUNCTION("""COMPUTED_VALUE"""),TRUE)</f>
        <v>1</v>
      </c>
      <c r="O157" s="64">
        <f ca="1">IFERROR(__xludf.DUMMYFUNCTION("""COMPUTED_VALUE"""),0)</f>
        <v>0</v>
      </c>
      <c r="P157" s="64" t="str">
        <f ca="1">IFERROR(__xludf.DUMMYFUNCTION("""COMPUTED_VALUE"""),"Epic")</f>
        <v>Epic</v>
      </c>
      <c r="Q157" s="64"/>
      <c r="R157" s="64" t="str">
        <f ca="1">IFERROR(__xludf.DUMMYFUNCTION("""COMPUTED_VALUE"""),"Leaf")</f>
        <v>Leaf</v>
      </c>
      <c r="S157" s="64" t="str">
        <f ca="1">IFERROR(__xludf.DUMMYFUNCTION("""COMPUTED_VALUE"""),"Sementium")</f>
        <v>Sementium</v>
      </c>
      <c r="T157" s="64" t="str">
        <f ca="1">IFERROR(__xludf.DUMMYFUNCTION("""COMPUTED_VALUE"""),"None")</f>
        <v>None</v>
      </c>
      <c r="U157" s="64" t="str">
        <f ca="1">IFERROR(__xludf.DUMMYFUNCTION("""COMPUTED_VALUE"""),"None")</f>
        <v>None</v>
      </c>
      <c r="V157" s="64" t="str">
        <f ca="1">IFERROR(__xludf.DUMMYFUNCTION("""COMPUTED_VALUE"""),"rhubarbarian")</f>
        <v>rhubarbarian</v>
      </c>
      <c r="W157" s="64" t="str">
        <f ca="1">IFERROR(__xludf.DUMMYFUNCTION("""COMPUTED_VALUE"""),"Vanguard")</f>
        <v>Vanguard</v>
      </c>
      <c r="X157" s="64" t="str">
        <f ca="1">IFERROR(__xludf.DUMMYFUNCTION("""COMPUTED_VALUE"""),"PvZ 2, PvZ 2 Chinease")</f>
        <v>PvZ 2, PvZ 2 Chinease</v>
      </c>
      <c r="Y157" s="65" t="str">
        <f ca="1">IFERROR(__xludf.DUMMYFUNCTION("""COMPUTED_VALUE"""),"https://static.wikia.nocookie.net/plantsvszombies/images/f/f6/Rhubarbarian2.png/revision/latest?cb=20220512063614")</f>
        <v>https://static.wikia.nocookie.net/plantsvszombies/images/f/f6/Rhubarbarian2.png/revision/latest?cb=20220512063614</v>
      </c>
    </row>
    <row r="158" spans="1:25" x14ac:dyDescent="0.2">
      <c r="A158" s="64">
        <f ca="1">IFERROR(__xludf.DUMMYFUNCTION("""COMPUTED_VALUE"""),157)</f>
        <v>157</v>
      </c>
      <c r="B158" s="64" t="str">
        <f ca="1">IFERROR(__xludf.DUMMYFUNCTION("""COMPUTED_VALUE"""),"Mega Gatling Pea")</f>
        <v>Mega Gatling Pea</v>
      </c>
      <c r="C158" s="64" t="str">
        <f ca="1">IFERROR(__xludf.DUMMYFUNCTION("""COMPUTED_VALUE"""),"Megametralhervilha")</f>
        <v>Megametralhervilha</v>
      </c>
      <c r="D158" s="64" t="str">
        <f ca="1">IFERROR(__xludf.DUMMYFUNCTION("""COMPUTED_VALUE"""),"Dispara")</f>
        <v>Dispara</v>
      </c>
      <c r="E158" s="64" t="str">
        <f ca="1">IFERROR(__xludf.DUMMYFUNCTION("""COMPUTED_VALUE"""),"Dispara quatro ervilhas contra os zumbis, e tem chance de se auto adubar.")</f>
        <v>Dispara quatro ervilhas contra os zumbis, e tem chance de se auto adubar.</v>
      </c>
      <c r="F158" s="64">
        <f ca="1">IFERROR(__xludf.DUMMYFUNCTION("""COMPUTED_VALUE"""),400)</f>
        <v>400</v>
      </c>
      <c r="G158" s="64">
        <f ca="1">IFERROR(__xludf.DUMMYFUNCTION("""COMPUTED_VALUE"""),300)</f>
        <v>300</v>
      </c>
      <c r="H158" s="64">
        <f ca="1">IFERROR(__xludf.DUMMYFUNCTION("""COMPUTED_VALUE"""),20)</f>
        <v>20</v>
      </c>
      <c r="I158" s="64">
        <f ca="1">IFERROR(__xludf.DUMMYFUNCTION("""COMPUTED_VALUE"""),5)</f>
        <v>5</v>
      </c>
      <c r="J158" s="64" t="str">
        <f ca="1">IFERROR(__xludf.DUMMYFUNCTION("""COMPUTED_VALUE"""),"Shoots a huge number of peas out, dealing massive damage. Normal attack will fire five peas instead of four, permanently.")</f>
        <v>Shoots a huge number of peas out, dealing massive damage. Normal attack will fire five peas instead of four, permanently.</v>
      </c>
      <c r="K158" s="64"/>
      <c r="L158" s="64" t="str">
        <f ca="1">IFERROR(__xludf.DUMMYFUNCTION("""COMPUTED_VALUE"""),"Special - Upgrades to 5x firing speed if Plant Fooded
Special - Has chance to randomly Plant Food himself")</f>
        <v>Special - Upgrades to 5x firing speed if Plant Fooded
Special - Has chance to randomly Plant Food himself</v>
      </c>
      <c r="M158" s="64" t="b">
        <f ca="1">IFERROR(__xludf.DUMMYFUNCTION("""COMPUTED_VALUE"""),FALSE)</f>
        <v>0</v>
      </c>
      <c r="N158" s="64" t="b">
        <f ca="1">IFERROR(__xludf.DUMMYFUNCTION("""COMPUTED_VALUE"""),FALSE)</f>
        <v>0</v>
      </c>
      <c r="O158" s="64">
        <f ca="1">IFERROR(__xludf.DUMMYFUNCTION("""COMPUTED_VALUE"""),0)</f>
        <v>0</v>
      </c>
      <c r="P158" s="64" t="str">
        <f ca="1">IFERROR(__xludf.DUMMYFUNCTION("""COMPUTED_VALUE"""),"Epic")</f>
        <v>Epic</v>
      </c>
      <c r="Q158" s="64"/>
      <c r="R158" s="64" t="str">
        <f ca="1">IFERROR(__xludf.DUMMYFUNCTION("""COMPUTED_VALUE"""),"Pea")</f>
        <v>Pea</v>
      </c>
      <c r="S158" s="64" t="str">
        <f ca="1">IFERROR(__xludf.DUMMYFUNCTION("""COMPUTED_VALUE"""),"Sementium")</f>
        <v>Sementium</v>
      </c>
      <c r="T158" s="64" t="str">
        <f ca="1">IFERROR(__xludf.DUMMYFUNCTION("""COMPUTED_VALUE"""),"None")</f>
        <v>None</v>
      </c>
      <c r="U158" s="64" t="str">
        <f ca="1">IFERROR(__xludf.DUMMYFUNCTION("""COMPUTED_VALUE"""),"None")</f>
        <v>None</v>
      </c>
      <c r="V158" s="64" t="str">
        <f ca="1">IFERROR(__xludf.DUMMYFUNCTION("""COMPUTED_VALUE"""),"megagatling")</f>
        <v>megagatling</v>
      </c>
      <c r="W158" s="64" t="str">
        <f ca="1">IFERROR(__xludf.DUMMYFUNCTION("""COMPUTED_VALUE"""),"Ranged")</f>
        <v>Ranged</v>
      </c>
      <c r="X158" s="64" t="str">
        <f ca="1">IFERROR(__xludf.DUMMYFUNCTION("""COMPUTED_VALUE"""),"PvZ 2")</f>
        <v>PvZ 2</v>
      </c>
      <c r="Y158" s="65" t="str">
        <f ca="1">IFERROR(__xludf.DUMMYFUNCTION("""COMPUTED_VALUE"""),"https://static.wikia.nocookie.net/plantsvszombies/images/1/17/Mega_Gatling_Pea2.png/revision/latest?cb=20220907040154")</f>
        <v>https://static.wikia.nocookie.net/plantsvszombies/images/1/17/Mega_Gatling_Pea2.png/revision/latest?cb=20220907040154</v>
      </c>
    </row>
    <row r="159" spans="1:25" x14ac:dyDescent="0.2">
      <c r="A159" s="64">
        <f ca="1">IFERROR(__xludf.DUMMYFUNCTION("""COMPUTED_VALUE"""),158)</f>
        <v>158</v>
      </c>
      <c r="B159" s="64" t="str">
        <f ca="1">IFERROR(__xludf.DUMMYFUNCTION("""COMPUTED_VALUE"""),"Levitater")</f>
        <v>Levitater</v>
      </c>
      <c r="C159" s="64" t="str">
        <f ca="1">IFERROR(__xludf.DUMMYFUNCTION("""COMPUTED_VALUE"""),"Levatata")</f>
        <v>Levatata</v>
      </c>
      <c r="D159" s="64" t="str">
        <f ca="1">IFERROR(__xludf.DUMMYFUNCTION("""COMPUTED_VALUE"""),"Encanta")</f>
        <v>Encanta</v>
      </c>
      <c r="E159" s="64" t="str">
        <f ca="1">IFERROR(__xludf.DUMMYFUNCTION("""COMPUTED_VALUE"""),"Levita zumbis aleatório, com chance de remove-los do campo.")</f>
        <v>Levita zumbis aleatório, com chance de remove-los do campo.</v>
      </c>
      <c r="F159" s="64">
        <f ca="1">IFERROR(__xludf.DUMMYFUNCTION("""COMPUTED_VALUE"""),50)</f>
        <v>50</v>
      </c>
      <c r="G159" s="64">
        <f ca="1">IFERROR(__xludf.DUMMYFUNCTION("""COMPUTED_VALUE"""),300)</f>
        <v>300</v>
      </c>
      <c r="H159" s="64">
        <f ca="1">IFERROR(__xludf.DUMMYFUNCTION("""COMPUTED_VALUE"""),0)</f>
        <v>0</v>
      </c>
      <c r="I159" s="64">
        <f ca="1">IFERROR(__xludf.DUMMYFUNCTION("""COMPUTED_VALUE"""),15)</f>
        <v>15</v>
      </c>
      <c r="J159" s="64" t="str">
        <f ca="1">IFERROR(__xludf.DUMMYFUNCTION("""COMPUTED_VALUE"""),"Knock back multiple zombies through levitation. Zombies knocked back have a chance of being tossed off the lawn.")</f>
        <v>Knock back multiple zombies through levitation. Zombies knocked back have a chance of being tossed off the lawn.</v>
      </c>
      <c r="K159" s="64"/>
      <c r="L159" s="64" t="str">
        <f ca="1">IFERROR(__xludf.DUMMYFUNCTION("""COMPUTED_VALUE"""),"Special - Levitated zombies cannot be Blovered")</f>
        <v>Special - Levitated zombies cannot be Blovered</v>
      </c>
      <c r="M159" s="64" t="b">
        <f ca="1">IFERROR(__xludf.DUMMYFUNCTION("""COMPUTED_VALUE"""),FALSE)</f>
        <v>0</v>
      </c>
      <c r="N159" s="64" t="b">
        <f ca="1">IFERROR(__xludf.DUMMYFUNCTION("""COMPUTED_VALUE"""),FALSE)</f>
        <v>0</v>
      </c>
      <c r="O159" s="64">
        <f ca="1">IFERROR(__xludf.DUMMYFUNCTION("""COMPUTED_VALUE"""),0)</f>
        <v>0</v>
      </c>
      <c r="P159" s="64" t="str">
        <f ca="1">IFERROR(__xludf.DUMMYFUNCTION("""COMPUTED_VALUE"""),"Uncommon")</f>
        <v>Uncommon</v>
      </c>
      <c r="Q159" s="64" t="str">
        <f ca="1">IFERROR(__xludf.DUMMYFUNCTION("""COMPUTED_VALUE"""),"control")</f>
        <v>control</v>
      </c>
      <c r="R159" s="64" t="str">
        <f ca="1">IFERROR(__xludf.DUMMYFUNCTION("""COMPUTED_VALUE"""),"Root")</f>
        <v>Root</v>
      </c>
      <c r="S159" s="64" t="str">
        <f ca="1">IFERROR(__xludf.DUMMYFUNCTION("""COMPUTED_VALUE"""),"Sementium")</f>
        <v>Sementium</v>
      </c>
      <c r="T159" s="64" t="str">
        <f ca="1">IFERROR(__xludf.DUMMYFUNCTION("""COMPUTED_VALUE"""),"None")</f>
        <v>None</v>
      </c>
      <c r="U159" s="64" t="str">
        <f ca="1">IFERROR(__xludf.DUMMYFUNCTION("""COMPUTED_VALUE"""),"None")</f>
        <v>None</v>
      </c>
      <c r="V159" s="64" t="str">
        <f ca="1">IFERROR(__xludf.DUMMYFUNCTION("""COMPUTED_VALUE"""),"levitater")</f>
        <v>levitater</v>
      </c>
      <c r="W159" s="64" t="str">
        <f ca="1">IFERROR(__xludf.DUMMYFUNCTION("""COMPUTED_VALUE"""),"Special")</f>
        <v>Special</v>
      </c>
      <c r="X159" s="64" t="str">
        <f ca="1">IFERROR(__xludf.DUMMYFUNCTION("""COMPUTED_VALUE"""),"PvZ 2")</f>
        <v>PvZ 2</v>
      </c>
      <c r="Y159" s="65" t="str">
        <f ca="1">IFERROR(__xludf.DUMMYFUNCTION("""COMPUTED_VALUE"""),"https://static.wikia.nocookie.net/plantsvszombies/images/1/1a/Levitater2.png/revision/latest?cb=20220614050517")</f>
        <v>https://static.wikia.nocookie.net/plantsvszombies/images/1/1a/Levitater2.png/revision/latest?cb=20220614050517</v>
      </c>
    </row>
    <row r="160" spans="1:25" x14ac:dyDescent="0.2">
      <c r="A160" s="64">
        <f ca="1">IFERROR(__xludf.DUMMYFUNCTION("""COMPUTED_VALUE"""),159)</f>
        <v>159</v>
      </c>
      <c r="B160" s="64" t="str">
        <f ca="1">IFERROR(__xludf.DUMMYFUNCTION("""COMPUTED_VALUE"""),"Tomb Tangler")</f>
        <v>Tomb Tangler</v>
      </c>
      <c r="C160" s="64" t="str">
        <f ca="1">IFERROR(__xludf.DUMMYFUNCTION("""COMPUTED_VALUE"""),"Enrosca-cova")</f>
        <v>Enrosca-cova</v>
      </c>
      <c r="D160" s="64" t="str">
        <f ca="1">IFERROR(__xludf.DUMMYFUNCTION("""COMPUTED_VALUE"""),"Refrea")</f>
        <v>Refrea</v>
      </c>
      <c r="E160" s="64" t="str">
        <f ca="1">IFERROR(__xludf.DUMMYFUNCTION("""COMPUTED_VALUE"""),"Prende uma cova, emitindo um gás que deixa os zumbis mais lentos e pode aleatoriamente puxa-los para o subsolo.")</f>
        <v>Prende uma cova, emitindo um gás que deixa os zumbis mais lentos e pode aleatoriamente puxa-los para o subsolo.</v>
      </c>
      <c r="F160" s="64">
        <f ca="1">IFERROR(__xludf.DUMMYFUNCTION("""COMPUTED_VALUE"""),25)</f>
        <v>25</v>
      </c>
      <c r="G160" s="64">
        <f ca="1">IFERROR(__xludf.DUMMYFUNCTION("""COMPUTED_VALUE"""),2500)</f>
        <v>2500</v>
      </c>
      <c r="H160" s="64">
        <f ca="1">IFERROR(__xludf.DUMMYFUNCTION("""COMPUTED_VALUE"""),1100)</f>
        <v>1100</v>
      </c>
      <c r="I160" s="64">
        <f ca="1">IFERROR(__xludf.DUMMYFUNCTION("""COMPUTED_VALUE"""),10)</f>
        <v>10</v>
      </c>
      <c r="J160" s="64" t="str">
        <f ca="1">IFERROR(__xludf.DUMMYFUNCTION("""COMPUTED_VALUE"""),"Drags up to 2 zombies down.")</f>
        <v>Drags up to 2 zombies down.</v>
      </c>
      <c r="K160" s="64"/>
      <c r="L160" s="64" t="str">
        <f ca="1">IFERROR(__xludf.DUMMYFUNCTION("""COMPUTED_VALUE"""),"Special - Can only be Planted on Tombstones.")</f>
        <v>Special - Can only be Planted on Tombstones.</v>
      </c>
      <c r="M160" s="64" t="b">
        <f ca="1">IFERROR(__xludf.DUMMYFUNCTION("""COMPUTED_VALUE"""),FALSE)</f>
        <v>0</v>
      </c>
      <c r="N160" s="64" t="b">
        <f ca="1">IFERROR(__xludf.DUMMYFUNCTION("""COMPUTED_VALUE"""),FALSE)</f>
        <v>0</v>
      </c>
      <c r="O160" s="64">
        <f ca="1">IFERROR(__xludf.DUMMYFUNCTION("""COMPUTED_VALUE"""),0)</f>
        <v>0</v>
      </c>
      <c r="P160" s="64" t="str">
        <f ca="1">IFERROR(__xludf.DUMMYFUNCTION("""COMPUTED_VALUE"""),"Rare")</f>
        <v>Rare</v>
      </c>
      <c r="Q160" s="64" t="str">
        <f ca="1">IFERROR(__xludf.DUMMYFUNCTION("""COMPUTED_VALUE"""),"stun, grave")</f>
        <v>stun, grave</v>
      </c>
      <c r="R160" s="64" t="str">
        <f ca="1">IFERROR(__xludf.DUMMYFUNCTION("""COMPUTED_VALUE"""),"Wood")</f>
        <v>Wood</v>
      </c>
      <c r="S160" s="64" t="str">
        <f ca="1">IFERROR(__xludf.DUMMYFUNCTION("""COMPUTED_VALUE"""),"Sementium")</f>
        <v>Sementium</v>
      </c>
      <c r="T160" s="64" t="str">
        <f ca="1">IFERROR(__xludf.DUMMYFUNCTION("""COMPUTED_VALUE"""),"None")</f>
        <v>None</v>
      </c>
      <c r="U160" s="64" t="str">
        <f ca="1">IFERROR(__xludf.DUMMYFUNCTION("""COMPUTED_VALUE"""),"None")</f>
        <v>None</v>
      </c>
      <c r="V160" s="64" t="str">
        <f ca="1">IFERROR(__xludf.DUMMYFUNCTION("""COMPUTED_VALUE"""),"tombtangler")</f>
        <v>tombtangler</v>
      </c>
      <c r="W160" s="64" t="str">
        <f ca="1">IFERROR(__xludf.DUMMYFUNCTION("""COMPUTED_VALUE"""),"Special")</f>
        <v>Special</v>
      </c>
      <c r="X160" s="64" t="str">
        <f ca="1">IFERROR(__xludf.DUMMYFUNCTION("""COMPUTED_VALUE"""),"PvZ 2")</f>
        <v>PvZ 2</v>
      </c>
      <c r="Y160" s="65" t="str">
        <f ca="1">IFERROR(__xludf.DUMMYFUNCTION("""COMPUTED_VALUE"""),"https://static.wikia.nocookie.net/plantsvszombies/images/d/d4/Tomb_Tangler2.png/revision/latest?cb=20220825052601")</f>
        <v>https://static.wikia.nocookie.net/plantsvszombies/images/d/d4/Tomb_Tangler2.png/revision/latest?cb=20220825052601</v>
      </c>
    </row>
    <row r="161" spans="1:25" x14ac:dyDescent="0.2">
      <c r="A161" s="64">
        <f ca="1">IFERROR(__xludf.DUMMYFUNCTION("""COMPUTED_VALUE"""),160)</f>
        <v>160</v>
      </c>
      <c r="B161" s="64" t="str">
        <f ca="1">IFERROR(__xludf.DUMMYFUNCTION("""COMPUTED_VALUE"""),"Vamporcini")</f>
        <v>Vamporcini</v>
      </c>
      <c r="C161" s="64" t="str">
        <f ca="1">IFERROR(__xludf.DUMMYFUNCTION("""COMPUTED_VALUE"""),"Vamporcini")</f>
        <v>Vamporcini</v>
      </c>
      <c r="D161" s="64" t="str">
        <f ca="1">IFERROR(__xludf.DUMMYFUNCTION("""COMPUTED_VALUE"""),"Envenenada")</f>
        <v>Envenenada</v>
      </c>
      <c r="E161" s="64" t="str">
        <f ca="1">IFERROR(__xludf.DUMMYFUNCTION("""COMPUTED_VALUE"""),"Drena a vida dos zumbis próximos por alguns segundos então se mantêm na defensiva.")</f>
        <v>Drena a vida dos zumbis próximos por alguns segundos então se mantêm na defensiva.</v>
      </c>
      <c r="F161" s="64">
        <f ca="1">IFERROR(__xludf.DUMMYFUNCTION("""COMPUTED_VALUE"""),100)</f>
        <v>100</v>
      </c>
      <c r="G161" s="64">
        <f ca="1">IFERROR(__xludf.DUMMYFUNCTION("""COMPUTED_VALUE"""),2700)</f>
        <v>2700</v>
      </c>
      <c r="H161" s="64">
        <f ca="1">IFERROR(__xludf.DUMMYFUNCTION("""COMPUTED_VALUE"""),20)</f>
        <v>20</v>
      </c>
      <c r="I161" s="64">
        <f ca="1">IFERROR(__xludf.DUMMYFUNCTION("""COMPUTED_VALUE"""),20)</f>
        <v>20</v>
      </c>
      <c r="J161" s="64" t="str">
        <f ca="1">IFERROR(__xludf.DUMMYFUNCTION("""COMPUTED_VALUE"""),"Grants permanent health drain, that both heals and increases max health, without a cooldown.")</f>
        <v>Grants permanent health drain, that both heals and increases max health, without a cooldown.</v>
      </c>
      <c r="K161" s="64"/>
      <c r="L161" s="64" t="str">
        <f ca="1">IFERROR(__xludf.DUMMYFUNCTION("""COMPUTED_VALUE"""),"Special - Plant Food will activate the Drain indefinitely")</f>
        <v>Special - Plant Food will activate the Drain indefinitely</v>
      </c>
      <c r="M161" s="64" t="b">
        <f ca="1">IFERROR(__xludf.DUMMYFUNCTION("""COMPUTED_VALUE"""),FALSE)</f>
        <v>0</v>
      </c>
      <c r="N161" s="64" t="b">
        <f ca="1">IFERROR(__xludf.DUMMYFUNCTION("""COMPUTED_VALUE"""),FALSE)</f>
        <v>0</v>
      </c>
      <c r="O161" s="64">
        <f ca="1">IFERROR(__xludf.DUMMYFUNCTION("""COMPUTED_VALUE"""),0)</f>
        <v>0</v>
      </c>
      <c r="P161" s="64" t="str">
        <f ca="1">IFERROR(__xludf.DUMMYFUNCTION("""COMPUTED_VALUE"""),"Uncommon")</f>
        <v>Uncommon</v>
      </c>
      <c r="Q161" s="64" t="str">
        <f ca="1">IFERROR(__xludf.DUMMYFUNCTION("""COMPUTED_VALUE"""),"heals, area-effect")</f>
        <v>heals, area-effect</v>
      </c>
      <c r="R161" s="64" t="str">
        <f ca="1">IFERROR(__xludf.DUMMYFUNCTION("""COMPUTED_VALUE"""),"Murshroom")</f>
        <v>Murshroom</v>
      </c>
      <c r="S161" s="64" t="str">
        <f ca="1">IFERROR(__xludf.DUMMYFUNCTION("""COMPUTED_VALUE"""),"Sementium")</f>
        <v>Sementium</v>
      </c>
      <c r="T161" s="64" t="str">
        <f ca="1">IFERROR(__xludf.DUMMYFUNCTION("""COMPUTED_VALUE"""),"None")</f>
        <v>None</v>
      </c>
      <c r="U161" s="64" t="str">
        <f ca="1">IFERROR(__xludf.DUMMYFUNCTION("""COMPUTED_VALUE"""),"None")</f>
        <v>None</v>
      </c>
      <c r="V161" s="64" t="str">
        <f ca="1">IFERROR(__xludf.DUMMYFUNCTION("""COMPUTED_VALUE"""),"vamporcini")</f>
        <v>vamporcini</v>
      </c>
      <c r="W161" s="64" t="str">
        <f ca="1">IFERROR(__xludf.DUMMYFUNCTION("""COMPUTED_VALUE"""),"Tough")</f>
        <v>Tough</v>
      </c>
      <c r="X161" s="64" t="str">
        <f ca="1">IFERROR(__xludf.DUMMYFUNCTION("""COMPUTED_VALUE"""),"PvZ 2, PvZ 2 Chinease")</f>
        <v>PvZ 2, PvZ 2 Chinease</v>
      </c>
      <c r="Y161" s="65" t="str">
        <f ca="1">IFERROR(__xludf.DUMMYFUNCTION("""COMPUTED_VALUE"""),"https://static.wikia.nocookie.net/plantsvszombies/images/2/28/Vamporcini2.png/revision/latest?cb=20220916012705")</f>
        <v>https://static.wikia.nocookie.net/plantsvszombies/images/2/28/Vamporcini2.png/revision/latest?cb=20220916012705</v>
      </c>
    </row>
    <row r="162" spans="1:25" x14ac:dyDescent="0.2">
      <c r="A162" s="64">
        <f ca="1">IFERROR(__xludf.DUMMYFUNCTION("""COMPUTED_VALUE"""),161)</f>
        <v>161</v>
      </c>
      <c r="B162" s="64" t="str">
        <f ca="1">IFERROR(__xludf.DUMMYFUNCTION("""COMPUTED_VALUE"""),"Meteor Flower")</f>
        <v>Meteor Flower</v>
      </c>
      <c r="C162" s="64" t="str">
        <f ca="1">IFERROR(__xludf.DUMMYFUNCTION("""COMPUTED_VALUE"""),"Flor Meteórica")</f>
        <v>Flor Meteórica</v>
      </c>
      <c r="D162" s="64" t="str">
        <f ca="1">IFERROR(__xludf.DUMMYFUNCTION("""COMPUTED_VALUE"""),"Aquecida")</f>
        <v>Aquecida</v>
      </c>
      <c r="E162" s="64" t="str">
        <f ca="1">IFERROR(__xludf.DUMMYFUNCTION("""COMPUTED_VALUE"""),"Conjura um meteoro que golpeia o chão deixando uma poça aquecida e afasta dinossauros.")</f>
        <v>Conjura um meteoro que golpeia o chão deixando uma poça aquecida e afasta dinossauros.</v>
      </c>
      <c r="F162" s="64">
        <f ca="1">IFERROR(__xludf.DUMMYFUNCTION("""COMPUTED_VALUE"""),250)</f>
        <v>250</v>
      </c>
      <c r="G162" s="64">
        <f ca="1">IFERROR(__xludf.DUMMYFUNCTION("""COMPUTED_VALUE"""),300)</f>
        <v>300</v>
      </c>
      <c r="H162" s="64">
        <f ca="1">IFERROR(__xludf.DUMMYFUNCTION("""COMPUTED_VALUE"""),120)</f>
        <v>120</v>
      </c>
      <c r="I162" s="64">
        <f ca="1">IFERROR(__xludf.DUMMYFUNCTION("""COMPUTED_VALUE"""),5)</f>
        <v>5</v>
      </c>
      <c r="J162" s="64" t="str">
        <f ca="1">IFERROR(__xludf.DUMMYFUNCTION("""COMPUTED_VALUE"""),"Conjure 3 meteor strikes, dealing damage and creates a molten pool at the impact point.")</f>
        <v>Conjure 3 meteor strikes, dealing damage and creates a molten pool at the impact point.</v>
      </c>
      <c r="K162" s="64"/>
      <c r="L162" s="64" t="str">
        <f ca="1">IFERROR(__xludf.DUMMYFUNCTION("""COMPUTED_VALUE"""),"
Special - Plant Food will conjure a flurry of meteor strikes")</f>
        <v xml:space="preserve">
Special - Plant Food will conjure a flurry of meteor strikes</v>
      </c>
      <c r="M162" s="64" t="b">
        <f ca="1">IFERROR(__xludf.DUMMYFUNCTION("""COMPUTED_VALUE"""),FALSE)</f>
        <v>0</v>
      </c>
      <c r="N162" s="64" t="b">
        <f ca="1">IFERROR(__xludf.DUMMYFUNCTION("""COMPUTED_VALUE"""),FALSE)</f>
        <v>0</v>
      </c>
      <c r="O162" s="64">
        <f ca="1">IFERROR(__xludf.DUMMYFUNCTION("""COMPUTED_VALUE"""),0)</f>
        <v>0</v>
      </c>
      <c r="P162" s="64" t="str">
        <f ca="1">IFERROR(__xludf.DUMMYFUNCTION("""COMPUTED_VALUE"""),"Mythical")</f>
        <v>Mythical</v>
      </c>
      <c r="Q162" s="64" t="str">
        <f ca="1">IFERROR(__xludf.DUMMYFUNCTION("""COMPUTED_VALUE"""),"control, area-effect")</f>
        <v>control, area-effect</v>
      </c>
      <c r="R162" s="64" t="str">
        <f ca="1">IFERROR(__xludf.DUMMYFUNCTION("""COMPUTED_VALUE"""),"Flower")</f>
        <v>Flower</v>
      </c>
      <c r="S162" s="64" t="str">
        <f ca="1">IFERROR(__xludf.DUMMYFUNCTION("""COMPUTED_VALUE"""),"Sementium")</f>
        <v>Sementium</v>
      </c>
      <c r="T162" s="64" t="str">
        <f ca="1">IFERROR(__xludf.DUMMYFUNCTION("""COMPUTED_VALUE"""),"None")</f>
        <v>None</v>
      </c>
      <c r="U162" s="64" t="str">
        <f ca="1">IFERROR(__xludf.DUMMYFUNCTION("""COMPUTED_VALUE"""),"None")</f>
        <v>None</v>
      </c>
      <c r="V162" s="64" t="str">
        <f ca="1">IFERROR(__xludf.DUMMYFUNCTION("""COMPUTED_VALUE"""),"meteorflower")</f>
        <v>meteorflower</v>
      </c>
      <c r="W162" s="64" t="str">
        <f ca="1">IFERROR(__xludf.DUMMYFUNCTION("""COMPUTED_VALUE"""),"Ranged")</f>
        <v>Ranged</v>
      </c>
      <c r="X162" s="64" t="str">
        <f ca="1">IFERROR(__xludf.DUMMYFUNCTION("""COMPUTED_VALUE"""),"PvZ 2, PvZ 2 Chinease")</f>
        <v>PvZ 2, PvZ 2 Chinease</v>
      </c>
      <c r="Y162" s="65" t="str">
        <f ca="1">IFERROR(__xludf.DUMMYFUNCTION("""COMPUTED_VALUE"""),"https://static.wikia.nocookie.net/plantsvszombies/images/1/15/Meteor_Flower2.png/revision/latest?cb=20220916012728")</f>
        <v>https://static.wikia.nocookie.net/plantsvszombies/images/1/15/Meteor_Flower2.png/revision/latest?cb=20220916012728</v>
      </c>
    </row>
    <row r="163" spans="1:25" x14ac:dyDescent="0.2">
      <c r="A163" s="64">
        <f ca="1">IFERROR(__xludf.DUMMYFUNCTION("""COMPUTED_VALUE"""),162)</f>
        <v>162</v>
      </c>
      <c r="B163" s="64" t="str">
        <f ca="1">IFERROR(__xludf.DUMMYFUNCTION("""COMPUTED_VALUE"""),"Chilly Pepper")</f>
        <v>Chilly Pepper</v>
      </c>
      <c r="C163" s="64" t="str">
        <f ca="1">IFERROR(__xludf.DUMMYFUNCTION("""COMPUTED_VALUE"""),"Pimentinha")</f>
        <v>Pimentinha</v>
      </c>
      <c r="D163" s="64" t="str">
        <f ca="1">IFERROR(__xludf.DUMMYFUNCTION("""COMPUTED_VALUE"""),"Resfriada")</f>
        <v>Resfriada</v>
      </c>
      <c r="E163" s="64" t="str">
        <f ca="1">IFERROR(__xludf.DUMMYFUNCTION("""COMPUTED_VALUE"""),"Explode causando dano na sua fileira e ainda resfria os alvos desta fileira e das adjacentes.")</f>
        <v>Explode causando dano na sua fileira e ainda resfria os alvos desta fileira e das adjacentes.</v>
      </c>
      <c r="F163" s="64">
        <f ca="1">IFERROR(__xludf.DUMMYFUNCTION("""COMPUTED_VALUE"""),100)</f>
        <v>100</v>
      </c>
      <c r="G163" s="64">
        <f ca="1">IFERROR(__xludf.DUMMYFUNCTION("""COMPUTED_VALUE"""),1)</f>
        <v>1</v>
      </c>
      <c r="H163" s="64">
        <f ca="1">IFERROR(__xludf.DUMMYFUNCTION("""COMPUTED_VALUE"""),1200)</f>
        <v>1200</v>
      </c>
      <c r="I163" s="64">
        <f ca="1">IFERROR(__xludf.DUMMYFUNCTION("""COMPUTED_VALUE"""),15)</f>
        <v>15</v>
      </c>
      <c r="J163" s="64" t="str">
        <f ca="1">IFERROR(__xludf.DUMMYFUNCTION("""COMPUTED_VALUE"""),"No Plant Food effect")</f>
        <v>No Plant Food effect</v>
      </c>
      <c r="K163" s="64"/>
      <c r="L163" s="64"/>
      <c r="M163" s="64" t="b">
        <f ca="1">IFERROR(__xludf.DUMMYFUNCTION("""COMPUTED_VALUE"""),TRUE)</f>
        <v>1</v>
      </c>
      <c r="N163" s="64" t="b">
        <f ca="1">IFERROR(__xludf.DUMMYFUNCTION("""COMPUTED_VALUE"""),TRUE)</f>
        <v>1</v>
      </c>
      <c r="O163" s="64">
        <f ca="1">IFERROR(__xludf.DUMMYFUNCTION("""COMPUTED_VALUE"""),0)</f>
        <v>0</v>
      </c>
      <c r="P163" s="64" t="str">
        <f ca="1">IFERROR(__xludf.DUMMYFUNCTION("""COMPUTED_VALUE"""),"Rare")</f>
        <v>Rare</v>
      </c>
      <c r="Q163" s="64" t="str">
        <f ca="1">IFERROR(__xludf.DUMMYFUNCTION("""COMPUTED_VALUE"""),"area-effect, chilling, explosion")</f>
        <v>area-effect, chilling, explosion</v>
      </c>
      <c r="R163" s="64" t="str">
        <f ca="1">IFERROR(__xludf.DUMMYFUNCTION("""COMPUTED_VALUE"""),"Pepper")</f>
        <v>Pepper</v>
      </c>
      <c r="S163" s="64" t="str">
        <f ca="1">IFERROR(__xludf.DUMMYFUNCTION("""COMPUTED_VALUE"""),"Sementium")</f>
        <v>Sementium</v>
      </c>
      <c r="T163" s="64" t="str">
        <f ca="1">IFERROR(__xludf.DUMMYFUNCTION("""COMPUTED_VALUE"""),"None")</f>
        <v>None</v>
      </c>
      <c r="U163" s="64" t="str">
        <f ca="1">IFERROR(__xludf.DUMMYFUNCTION("""COMPUTED_VALUE"""),"None")</f>
        <v>None</v>
      </c>
      <c r="V163" s="64" t="str">
        <f ca="1">IFERROR(__xludf.DUMMYFUNCTION("""COMPUTED_VALUE"""),"chillypepper
")</f>
        <v xml:space="preserve">chillypepper
</v>
      </c>
      <c r="W163" s="64" t="str">
        <f ca="1">IFERROR(__xludf.DUMMYFUNCTION("""COMPUTED_VALUE"""),"Special")</f>
        <v>Special</v>
      </c>
      <c r="X163" s="64" t="str">
        <f ca="1">IFERROR(__xludf.DUMMYFUNCTION("""COMPUTED_VALUE"""),"PvZ 2, PvZ Heroes, PvZA, PvZ 3")</f>
        <v>PvZ 2, PvZ Heroes, PvZA, PvZ 3</v>
      </c>
      <c r="Y163" s="65" t="str">
        <f ca="1">IFERROR(__xludf.DUMMYFUNCTION("""COMPUTED_VALUE"""),"https://static.wikia.nocookie.net/plantsvszombies/images/d/da/Chilly_Pepper2.png/revision/latest?cb=20221105224813")</f>
        <v>https://static.wikia.nocookie.net/plantsvszombies/images/d/da/Chilly_Pepper2.png/revision/latest?cb=20221105224813</v>
      </c>
    </row>
    <row r="164" spans="1:25" x14ac:dyDescent="0.2">
      <c r="A164" s="64">
        <f ca="1">IFERROR(__xludf.DUMMYFUNCTION("""COMPUTED_VALUE"""),163)</f>
        <v>163</v>
      </c>
      <c r="B164" s="64" t="str">
        <f ca="1">IFERROR(__xludf.DUMMYFUNCTION("""COMPUTED_VALUE"""),"Bun Chi")</f>
        <v>Bun Chi</v>
      </c>
      <c r="C164" s="64" t="str">
        <f ca="1">IFERROR(__xludf.DUMMYFUNCTION("""COMPUTED_VALUE"""),"Bun Chi")</f>
        <v>Bun Chi</v>
      </c>
      <c r="D164" s="64" t="str">
        <f ca="1">IFERROR(__xludf.DUMMYFUNCTION("""COMPUTED_VALUE"""),"Surra")</f>
        <v>Surra</v>
      </c>
      <c r="E164" s="64" t="str">
        <f ca="1">IFERROR(__xludf.DUMMYFUNCTION("""COMPUTED_VALUE"""),"Golpeia e empurra, acumulando até 5 pontos de Chi, aumentando seu dano a cada ponto. Por fim pode liberar um golpe relâmpago gastandos os 5 pontos.")</f>
        <v>Golpeia e empurra, acumulando até 5 pontos de Chi, aumentando seu dano a cada ponto. Por fim pode liberar um golpe relâmpago gastandos os 5 pontos.</v>
      </c>
      <c r="F164" s="64">
        <f ca="1">IFERROR(__xludf.DUMMYFUNCTION("""COMPUTED_VALUE"""),150)</f>
        <v>150</v>
      </c>
      <c r="G164" s="64">
        <f ca="1">IFERROR(__xludf.DUMMYFUNCTION("""COMPUTED_VALUE"""),175)</f>
        <v>175</v>
      </c>
      <c r="H164" s="64">
        <f ca="1">IFERROR(__xludf.DUMMYFUNCTION("""COMPUTED_VALUE"""),50)</f>
        <v>50</v>
      </c>
      <c r="I164" s="64">
        <f ca="1">IFERROR(__xludf.DUMMYFUNCTION("""COMPUTED_VALUE"""),12)</f>
        <v>12</v>
      </c>
      <c r="J164" s="64" t="str">
        <f ca="1">IFERROR(__xludf.DUMMYFUNCTION("""COMPUTED_VALUE"""),"Immediately triggers thunder clap, dealing damage in a 3x3 area and reducing zombie damage.")</f>
        <v>Immediately triggers thunder clap, dealing damage in a 3x3 area and reducing zombie damage.</v>
      </c>
      <c r="K164" s="64"/>
      <c r="L164" s="64" t="str">
        <f ca="1">IFERROR(__xludf.DUMMYFUNCTION("""COMPUTED_VALUE"""),"Special - Gain a Max of 5 Chi stacks with each successive Chain of Attacks. Each Stack will upgrade damage and knockback.
Special - At Level 5, tap the glowing flower to unleash a devastating Thunderclap Attack.")</f>
        <v>Special - Gain a Max of 5 Chi stacks with each successive Chain of Attacks. Each Stack will upgrade damage and knockback.
Special - At Level 5, tap the glowing flower to unleash a devastating Thunderclap Attack.</v>
      </c>
      <c r="M164" s="64" t="b">
        <f ca="1">IFERROR(__xludf.DUMMYFUNCTION("""COMPUTED_VALUE"""),FALSE)</f>
        <v>0</v>
      </c>
      <c r="N164" s="64" t="b">
        <f ca="1">IFERROR(__xludf.DUMMYFUNCTION("""COMPUTED_VALUE"""),FALSE)</f>
        <v>0</v>
      </c>
      <c r="O164" s="64">
        <f ca="1">IFERROR(__xludf.DUMMYFUNCTION("""COMPUTED_VALUE"""),0)</f>
        <v>0</v>
      </c>
      <c r="P164" s="64" t="str">
        <f ca="1">IFERROR(__xludf.DUMMYFUNCTION("""COMPUTED_VALUE"""),"Epic")</f>
        <v>Epic</v>
      </c>
      <c r="Q164" s="64" t="str">
        <f ca="1">IFERROR(__xludf.DUMMYFUNCTION("""COMPUTED_VALUE"""),"zodiac")</f>
        <v>zodiac</v>
      </c>
      <c r="R164" s="64" t="str">
        <f ca="1">IFERROR(__xludf.DUMMYFUNCTION("""COMPUTED_VALUE"""),"Cactus")</f>
        <v>Cactus</v>
      </c>
      <c r="S164" s="64" t="str">
        <f ca="1">IFERROR(__xludf.DUMMYFUNCTION("""COMPUTED_VALUE"""),"Sementium")</f>
        <v>Sementium</v>
      </c>
      <c r="T164" s="64" t="str">
        <f ca="1">IFERROR(__xludf.DUMMYFUNCTION("""COMPUTED_VALUE"""),"None")</f>
        <v>None</v>
      </c>
      <c r="U164" s="64" t="str">
        <f ca="1">IFERROR(__xludf.DUMMYFUNCTION("""COMPUTED_VALUE"""),"350")</f>
        <v>350</v>
      </c>
      <c r="V164" s="64" t="str">
        <f ca="1">IFERROR(__xludf.DUMMYFUNCTION("""COMPUTED_VALUE"""),"waterrabbit")</f>
        <v>waterrabbit</v>
      </c>
      <c r="W164" s="64" t="str">
        <f ca="1">IFERROR(__xludf.DUMMYFUNCTION("""COMPUTED_VALUE"""),"Vanguard")</f>
        <v>Vanguard</v>
      </c>
      <c r="X164" s="64" t="str">
        <f ca="1">IFERROR(__xludf.DUMMYFUNCTION("""COMPUTED_VALUE"""),"PvZ 2, PvZ 2 Chinease")</f>
        <v>PvZ 2, PvZ 2 Chinease</v>
      </c>
      <c r="Y164" s="65" t="str">
        <f ca="1">IFERROR(__xludf.DUMMYFUNCTION("""COMPUTED_VALUE"""),"https://static.wikia.nocookie.net/plantsvszombies/images/4/4f/Bun_Chi2.png/revision/latest?cb=20230201230126")</f>
        <v>https://static.wikia.nocookie.net/plantsvszombies/images/4/4f/Bun_Chi2.png/revision/latest?cb=20230201230126</v>
      </c>
    </row>
    <row r="165" spans="1:25" x14ac:dyDescent="0.2">
      <c r="A165" s="64">
        <f ca="1">IFERROR(__xludf.DUMMYFUNCTION("""COMPUTED_VALUE"""),164)</f>
        <v>164</v>
      </c>
      <c r="B165" s="64" t="str">
        <f ca="1">IFERROR(__xludf.DUMMYFUNCTION("""COMPUTED_VALUE"""),"Bzzz Button")</f>
        <v>Bzzz Button</v>
      </c>
      <c r="C165" s="64" t="str">
        <f ca="1">IFERROR(__xludf.DUMMYFUNCTION("""COMPUTED_VALUE"""),"Jambelétrica")</f>
        <v>Jambelétrica</v>
      </c>
      <c r="D165" s="64" t="str">
        <f ca="1">IFERROR(__xludf.DUMMYFUNCTION("""COMPUTED_VALUE"""),"Fila")</f>
        <v>Fila</v>
      </c>
      <c r="E165" s="64" t="str">
        <f ca="1">IFERROR(__xludf.DUMMYFUNCTION("""COMPUTED_VALUE"""),"Quando comido, eletrifica o zumbi causando dano ao decorrer do tempo, podendo propaga-lo, e diminuindo levemente sua velocidade.")</f>
        <v>Quando comido, eletrifica o zumbi causando dano ao decorrer do tempo, podendo propaga-lo, e diminuindo levemente sua velocidade.</v>
      </c>
      <c r="F165" s="64">
        <f ca="1">IFERROR(__xludf.DUMMYFUNCTION("""COMPUTED_VALUE"""),50)</f>
        <v>50</v>
      </c>
      <c r="G165" s="64">
        <f ca="1">IFERROR(__xludf.DUMMYFUNCTION("""COMPUTED_VALUE"""),300)</f>
        <v>300</v>
      </c>
      <c r="H165" s="64">
        <f ca="1">IFERROR(__xludf.DUMMYFUNCTION("""COMPUTED_VALUE"""),22)</f>
        <v>22</v>
      </c>
      <c r="I165" s="64">
        <f ca="1">IFERROR(__xludf.DUMMYFUNCTION("""COMPUTED_VALUE"""),15)</f>
        <v>15</v>
      </c>
      <c r="J165" s="64" t="str">
        <f ca="1">IFERROR(__xludf.DUMMYFUNCTION("""COMPUTED_VALUE"""),"Detonate and ELECTRIFIES all zombies in a 3x3 area.")</f>
        <v>Detonate and ELECTRIFIES all zombies in a 3x3 area.</v>
      </c>
      <c r="K165" s="64"/>
      <c r="L165" s="64" t="str">
        <f ca="1">IFERROR(__xludf.DUMMYFUNCTION("""COMPUTED_VALUE"""),"Special - Eating zombie has the Electrified Condition applied to it
Electrified Condition - Electrified Zombies are slowed down and take damage over time. They periodically shoot Arc Lightning at nearby Zombies.
Charged Condition - Zombies hit with Arc Li"&amp;"ghtning from Electrified Zombies will get the Charged Status applied to them, slowing them down for a brief period.")</f>
        <v>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v>
      </c>
      <c r="M165" s="64" t="b">
        <f ca="1">IFERROR(__xludf.DUMMYFUNCTION("""COMPUTED_VALUE"""),TRUE)</f>
        <v>1</v>
      </c>
      <c r="N165" s="64" t="b">
        <f ca="1">IFERROR(__xludf.DUMMYFUNCTION("""COMPUTED_VALUE"""),FALSE)</f>
        <v>0</v>
      </c>
      <c r="O165" s="64">
        <f ca="1">IFERROR(__xludf.DUMMYFUNCTION("""COMPUTED_VALUE"""),0)</f>
        <v>0</v>
      </c>
      <c r="P165" s="64" t="str">
        <f ca="1">IFERROR(__xludf.DUMMYFUNCTION("""COMPUTED_VALUE"""),"Uncommon")</f>
        <v>Uncommon</v>
      </c>
      <c r="Q165" s="64" t="str">
        <f ca="1">IFERROR(__xludf.DUMMYFUNCTION("""COMPUTED_VALUE"""),"slowing, electrified, control, chain_attack")</f>
        <v>slowing, electrified, control, chain_attack</v>
      </c>
      <c r="R165" s="64" t="str">
        <f ca="1">IFERROR(__xludf.DUMMYFUNCTION("""COMPUTED_VALUE"""),"Flower")</f>
        <v>Flower</v>
      </c>
      <c r="S165" s="64" t="str">
        <f ca="1">IFERROR(__xludf.DUMMYFUNCTION("""COMPUTED_VALUE"""),"Sementium")</f>
        <v>Sementium</v>
      </c>
      <c r="T165" s="64" t="str">
        <f ca="1">IFERROR(__xludf.DUMMYFUNCTION("""COMPUTED_VALUE"""),"None")</f>
        <v>None</v>
      </c>
      <c r="U165" s="64" t="str">
        <f ca="1">IFERROR(__xludf.DUMMYFUNCTION("""COMPUTED_VALUE"""),"7")</f>
        <v>7</v>
      </c>
      <c r="V165" s="64" t="str">
        <f ca="1">IFERROR(__xludf.DUMMYFUNCTION("""COMPUTED_VALUE"""),"buzzbuttoon")</f>
        <v>buzzbuttoon</v>
      </c>
      <c r="W165" s="64" t="str">
        <f ca="1">IFERROR(__xludf.DUMMYFUNCTION("""COMPUTED_VALUE"""),"Special")</f>
        <v>Special</v>
      </c>
      <c r="X165" s="64" t="str">
        <f ca="1">IFERROR(__xludf.DUMMYFUNCTION("""COMPUTED_VALUE"""),"PvZ 2")</f>
        <v>PvZ 2</v>
      </c>
      <c r="Y165" s="65" t="str">
        <f ca="1">IFERROR(__xludf.DUMMYFUNCTION("""COMPUTED_VALUE"""),"https://static.wikia.nocookie.net/plantsvszombies/images/0/02/Bzzz_Button2.png/revision/latest?cb=20230201230140")</f>
        <v>https://static.wikia.nocookie.net/plantsvszombies/images/0/02/Bzzz_Button2.png/revision/latest?cb=20230201230140</v>
      </c>
    </row>
    <row r="166" spans="1:25" x14ac:dyDescent="0.2">
      <c r="A166" s="64">
        <f ca="1">IFERROR(__xludf.DUMMYFUNCTION("""COMPUTED_VALUE"""),165)</f>
        <v>165</v>
      </c>
      <c r="B166" s="64" t="str">
        <f ca="1">IFERROR(__xludf.DUMMYFUNCTION("""COMPUTED_VALUE"""),"BoomBerry")</f>
        <v>BoomBerry</v>
      </c>
      <c r="C166" s="64" t="str">
        <f ca="1">IFERROR(__xludf.DUMMYFUNCTION("""COMPUTED_VALUE"""),"Bumora")</f>
        <v>Bumora</v>
      </c>
      <c r="D166" s="64" t="str">
        <f ca="1">IFERROR(__xludf.DUMMYFUNCTION("""COMPUTED_VALUE"""),"Arma")</f>
        <v>Arma</v>
      </c>
      <c r="E166" s="64" t="str">
        <f ca="1">IFERROR(__xludf.DUMMYFUNCTION("""COMPUTED_VALUE"""),"Lança berries explosivas em parábola no último zumbi da fileira, atordoando-o brevemente.")</f>
        <v>Lança berries explosivas em parábola no último zumbi da fileira, atordoando-o brevemente.</v>
      </c>
      <c r="F166" s="64">
        <f ca="1">IFERROR(__xludf.DUMMYFUNCTION("""COMPUTED_VALUE"""),225)</f>
        <v>225</v>
      </c>
      <c r="G166" s="64">
        <f ca="1">IFERROR(__xludf.DUMMYFUNCTION("""COMPUTED_VALUE"""),175)</f>
        <v>175</v>
      </c>
      <c r="H166" s="64">
        <f ca="1">IFERROR(__xludf.DUMMYFUNCTION("""COMPUTED_VALUE"""),120)</f>
        <v>120</v>
      </c>
      <c r="I166" s="64">
        <f ca="1">IFERROR(__xludf.DUMMYFUNCTION("""COMPUTED_VALUE"""),12)</f>
        <v>12</v>
      </c>
      <c r="J166" s="64" t="str">
        <f ca="1">IFERROR(__xludf.DUMMYFUNCTION("""COMPUTED_VALUE"""),"Launches multiple projectiles, blanketing the target column with explosive berries.")</f>
        <v>Launches multiple projectiles, blanketing the target column with explosive berries.</v>
      </c>
      <c r="K166" s="64" t="str">
        <f ca="1">IFERROR(__xludf.DUMMYFUNCTION("""COMPUTED_VALUE"""),"Especially effective against Zcorpion, Octo and Wizard zombies.
")</f>
        <v xml:space="preserve">Especially effective against Zcorpion, Octo and Wizard zombies.
</v>
      </c>
      <c r="L166" s="64"/>
      <c r="M166" s="64" t="b">
        <f ca="1">IFERROR(__xludf.DUMMYFUNCTION("""COMPUTED_VALUE"""),FALSE)</f>
        <v>0</v>
      </c>
      <c r="N166" s="64" t="b">
        <f ca="1">IFERROR(__xludf.DUMMYFUNCTION("""COMPUTED_VALUE"""),FALSE)</f>
        <v>0</v>
      </c>
      <c r="O166" s="64">
        <f ca="1">IFERROR(__xludf.DUMMYFUNCTION("""COMPUTED_VALUE"""),0)</f>
        <v>0</v>
      </c>
      <c r="P166" s="64" t="str">
        <f ca="1">IFERROR(__xludf.DUMMYFUNCTION("""COMPUTED_VALUE"""),"Epic")</f>
        <v>Epic</v>
      </c>
      <c r="Q166" s="64" t="str">
        <f ca="1">IFERROR(__xludf.DUMMYFUNCTION("""COMPUTED_VALUE"""),"area-effect")</f>
        <v>area-effect</v>
      </c>
      <c r="R166" s="64" t="str">
        <f ca="1">IFERROR(__xludf.DUMMYFUNCTION("""COMPUTED_VALUE"""),"Berry")</f>
        <v>Berry</v>
      </c>
      <c r="S166" s="64" t="str">
        <f ca="1">IFERROR(__xludf.DUMMYFUNCTION("""COMPUTED_VALUE"""),"Sementium")</f>
        <v>Sementium</v>
      </c>
      <c r="T166" s="64" t="str">
        <f ca="1">IFERROR(__xludf.DUMMYFUNCTION("""COMPUTED_VALUE"""),"None")</f>
        <v>None</v>
      </c>
      <c r="U166" s="64" t="str">
        <f ca="1">IFERROR(__xludf.DUMMYFUNCTION("""COMPUTED_VALUE"""),"90")</f>
        <v>90</v>
      </c>
      <c r="V166" s="64" t="str">
        <f ca="1">IFERROR(__xludf.DUMMYFUNCTION("""COMPUTED_VALUE"""),"boomberry")</f>
        <v>boomberry</v>
      </c>
      <c r="W166" s="64" t="str">
        <f ca="1">IFERROR(__xludf.DUMMYFUNCTION("""COMPUTED_VALUE"""),"Ranged")</f>
        <v>Ranged</v>
      </c>
      <c r="X166" s="64" t="str">
        <f ca="1">IFERROR(__xludf.DUMMYFUNCTION("""COMPUTED_VALUE"""),"PvZ 2")</f>
        <v>PvZ 2</v>
      </c>
      <c r="Y166" s="65" t="str">
        <f ca="1">IFERROR(__xludf.DUMMYFUNCTION("""COMPUTED_VALUE"""),"https://static.wikia.nocookie.net/plantsvszombies/images/a/a8/BoomBerry2.png/revision/latest?cb=20230201230214")</f>
        <v>https://static.wikia.nocookie.net/plantsvszombies/images/a/a8/BoomBerry2.png/revision/latest?cb=20230201230214</v>
      </c>
    </row>
    <row r="167" spans="1:25" x14ac:dyDescent="0.2">
      <c r="A167" s="64">
        <f ca="1">IFERROR(__xludf.DUMMYFUNCTION("""COMPUTED_VALUE"""),166)</f>
        <v>166</v>
      </c>
      <c r="B167" s="64" t="str">
        <f ca="1">IFERROR(__xludf.DUMMYFUNCTION("""COMPUTED_VALUE"""),"SeaFlora")</f>
        <v>SeaFlora</v>
      </c>
      <c r="C167" s="64" t="str">
        <f ca="1">IFERROR(__xludf.DUMMYFUNCTION("""COMPUTED_VALUE"""),"Flora-Mar")</f>
        <v>Flora-Mar</v>
      </c>
      <c r="D167" s="64" t="str">
        <f ca="1">IFERROR(__xludf.DUMMYFUNCTION("""COMPUTED_VALUE"""),"Perfura")</f>
        <v>Perfura</v>
      </c>
      <c r="E167" s="64" t="str">
        <f ca="1">IFERROR(__xludf.DUMMYFUNCTION("""COMPUTED_VALUE"""),"Planta anfíbia. Dispara uma bolha perfurante, caso esteja na água, causará menos dano, mas lançará bolhas também nas colunas adjacentes.")</f>
        <v>Planta anfíbia. Dispara uma bolha perfurante, caso esteja na água, causará menos dano, mas lançará bolhas também nas colunas adjacentes.</v>
      </c>
      <c r="F167" s="64">
        <f ca="1">IFERROR(__xludf.DUMMYFUNCTION("""COMPUTED_VALUE"""),175)</f>
        <v>175</v>
      </c>
      <c r="G167" s="64">
        <f ca="1">IFERROR(__xludf.DUMMYFUNCTION("""COMPUTED_VALUE"""),300)</f>
        <v>300</v>
      </c>
      <c r="H167" s="64">
        <f ca="1">IFERROR(__xludf.DUMMYFUNCTION("""COMPUTED_VALUE"""),95)</f>
        <v>95</v>
      </c>
      <c r="I167" s="64">
        <f ca="1">IFERROR(__xludf.DUMMYFUNCTION("""COMPUTED_VALUE"""),12)</f>
        <v>12</v>
      </c>
      <c r="J167" s="64" t="str">
        <f ca="1">IFERROR(__xludf.DUMMYFUNCTION("""COMPUTED_VALUE"""),"Fires a giant bubble down its lane, pushing back zombies, then exploding for massive damage. Improves to 3 lanes when planted on water.")</f>
        <v>Fires a giant bubble down its lane, pushing back zombies, then exploding for massive damage. Improves to 3 lanes when planted on water.</v>
      </c>
      <c r="K167" s="64" t="str">
        <f ca="1">IFERROR(__xludf.DUMMYFUNCTION("""COMPUTED_VALUE"""),"Team SeaFlora with slow or other push zombies to take advantage of the large bubble explosion during its plant food.")</f>
        <v>Team SeaFlora with slow or other push zombies to take advantage of the large bubble explosion during its plant food.</v>
      </c>
      <c r="L167" s="64"/>
      <c r="M167" s="64" t="b">
        <f ca="1">IFERROR(__xludf.DUMMYFUNCTION("""COMPUTED_VALUE"""),FALSE)</f>
        <v>0</v>
      </c>
      <c r="N167" s="64" t="b">
        <f ca="1">IFERROR(__xludf.DUMMYFUNCTION("""COMPUTED_VALUE"""),FALSE)</f>
        <v>0</v>
      </c>
      <c r="O167" s="64">
        <f ca="1">IFERROR(__xludf.DUMMYFUNCTION("""COMPUTED_VALUE"""),0)</f>
        <v>0</v>
      </c>
      <c r="P167" s="64" t="str">
        <f ca="1">IFERROR(__xludf.DUMMYFUNCTION("""COMPUTED_VALUE"""),"Rare")</f>
        <v>Rare</v>
      </c>
      <c r="Q167" s="64" t="str">
        <f ca="1">IFERROR(__xludf.DUMMYFUNCTION("""COMPUTED_VALUE"""),"aquatic")</f>
        <v>aquatic</v>
      </c>
      <c r="R167" s="64" t="str">
        <f ca="1">IFERROR(__xludf.DUMMYFUNCTION("""COMPUTED_VALUE"""),"Flower")</f>
        <v>Flower</v>
      </c>
      <c r="S167" s="64" t="str">
        <f ca="1">IFERROR(__xludf.DUMMYFUNCTION("""COMPUTED_VALUE"""),"Sementium")</f>
        <v>Sementium</v>
      </c>
      <c r="T167" s="64" t="str">
        <f ca="1">IFERROR(__xludf.DUMMYFUNCTION("""COMPUTED_VALUE"""),"None")</f>
        <v>None</v>
      </c>
      <c r="U167" s="64" t="str">
        <f ca="1">IFERROR(__xludf.DUMMYFUNCTION("""COMPUTED_VALUE"""),"70")</f>
        <v>70</v>
      </c>
      <c r="V167" s="64" t="str">
        <f ca="1">IFERROR(__xludf.DUMMYFUNCTION("""COMPUTED_VALUE"""),"seaflora")</f>
        <v>seaflora</v>
      </c>
      <c r="W167" s="64" t="str">
        <f ca="1">IFERROR(__xludf.DUMMYFUNCTION("""COMPUTED_VALUE"""),"Ranged")</f>
        <v>Ranged</v>
      </c>
      <c r="X167" s="64" t="str">
        <f ca="1">IFERROR(__xludf.DUMMYFUNCTION("""COMPUTED_VALUE"""),"PvZ 2, PvZ 2 Chinease")</f>
        <v>PvZ 2, PvZ 2 Chinease</v>
      </c>
      <c r="Y167" s="65" t="str">
        <f ca="1">IFERROR(__xludf.DUMMYFUNCTION("""COMPUTED_VALUE"""),"https://static.wikia.nocookie.net/plantsvszombies/images/8/8f/SeaFlora2.png/revision/latest?cb=20230314003534")</f>
        <v>https://static.wikia.nocookie.net/plantsvszombies/images/8/8f/SeaFlora2.png/revision/latest?cb=20230314003534</v>
      </c>
    </row>
    <row r="168" spans="1:25" x14ac:dyDescent="0.2">
      <c r="A168" s="64">
        <f ca="1">IFERROR(__xludf.DUMMYFUNCTION("""COMPUTED_VALUE"""),167)</f>
        <v>167</v>
      </c>
      <c r="B168" s="64" t="str">
        <f ca="1">IFERROR(__xludf.DUMMYFUNCTION("""COMPUTED_VALUE"""),"MayBee")</f>
        <v>MayBee</v>
      </c>
      <c r="C168" s="64" t="str">
        <f ca="1">IFERROR(__xludf.DUMMYFUNCTION("""COMPUTED_VALUE"""),"Mabelha")</f>
        <v>Mabelha</v>
      </c>
      <c r="D168" s="64" t="str">
        <f ca="1">IFERROR(__xludf.DUMMYFUNCTION("""COMPUTED_VALUE"""),"Encanta")</f>
        <v>Encanta</v>
      </c>
      <c r="E168" s="64" t="str">
        <f ca="1">IFERROR(__xludf.DUMMYFUNCTION("""COMPUTED_VALUE"""),"Lança até 3 abelhas em zumbis que se aproximam, causando dano ao decorrer do tempo.")</f>
        <v>Lança até 3 abelhas em zumbis que se aproximam, causando dano ao decorrer do tempo.</v>
      </c>
      <c r="F168" s="64">
        <f ca="1">IFERROR(__xludf.DUMMYFUNCTION("""COMPUTED_VALUE"""),300)</f>
        <v>300</v>
      </c>
      <c r="G168" s="64">
        <f ca="1">IFERROR(__xludf.DUMMYFUNCTION("""COMPUTED_VALUE"""),300)</f>
        <v>300</v>
      </c>
      <c r="H168" s="64">
        <f ca="1">IFERROR(__xludf.DUMMYFUNCTION("""COMPUTED_VALUE"""),20)</f>
        <v>20</v>
      </c>
      <c r="I168" s="64">
        <f ca="1">IFERROR(__xludf.DUMMYFUNCTION("""COMPUTED_VALUE"""),20)</f>
        <v>20</v>
      </c>
      <c r="J168" s="64" t="str">
        <f ca="1">IFERROR(__xludf.DUMMYFUNCTION("""COMPUTED_VALUE"""),"Fires a barrage of stronger bee-like projectiles to seek out targets all across the board and for a short time leaves zombies that survived the attack stunned!")</f>
        <v>Fires a barrage of stronger bee-like projectiles to seek out targets all across the board and for a short time leaves zombies that survived the attack stunned!</v>
      </c>
      <c r="K168" s="64" t="str">
        <f ca="1">IFERROR(__xludf.DUMMYFUNCTION("""COMPUTED_VALUE"""),"When fired over Lightning Reed projectile damage is boosted. Try this with Plant Food for maximum damage!")</f>
        <v>When fired over Lightning Reed projectile damage is boosted. Try this with Plant Food for maximum damage!</v>
      </c>
      <c r="L168" s="64"/>
      <c r="M168" s="64" t="b">
        <f ca="1">IFERROR(__xludf.DUMMYFUNCTION("""COMPUTED_VALUE"""),FALSE)</f>
        <v>0</v>
      </c>
      <c r="N168" s="64" t="b">
        <f ca="1">IFERROR(__xludf.DUMMYFUNCTION("""COMPUTED_VALUE"""),FALSE)</f>
        <v>0</v>
      </c>
      <c r="O168" s="64">
        <f ca="1">IFERROR(__xludf.DUMMYFUNCTION("""COMPUTED_VALUE"""),0)</f>
        <v>0</v>
      </c>
      <c r="P168" s="64" t="str">
        <f ca="1">IFERROR(__xludf.DUMMYFUNCTION("""COMPUTED_VALUE"""),"Rare")</f>
        <v>Rare</v>
      </c>
      <c r="Q168" s="64" t="str">
        <f ca="1">IFERROR(__xludf.DUMMYFUNCTION("""COMPUTED_VALUE"""),"stun, summon")</f>
        <v>stun, summon</v>
      </c>
      <c r="R168" s="64" t="str">
        <f ca="1">IFERROR(__xludf.DUMMYFUNCTION("""COMPUTED_VALUE"""),"Flower")</f>
        <v>Flower</v>
      </c>
      <c r="S168" s="64" t="str">
        <f ca="1">IFERROR(__xludf.DUMMYFUNCTION("""COMPUTED_VALUE"""),"Sementium")</f>
        <v>Sementium</v>
      </c>
      <c r="T168" s="64" t="str">
        <f ca="1">IFERROR(__xludf.DUMMYFUNCTION("""COMPUTED_VALUE"""),"None")</f>
        <v>None</v>
      </c>
      <c r="U168" s="64" t="str">
        <f ca="1">IFERROR(__xludf.DUMMYFUNCTION("""COMPUTED_VALUE"""),"None")</f>
        <v>None</v>
      </c>
      <c r="V168" s="64" t="str">
        <f ca="1">IFERROR(__xludf.DUMMYFUNCTION("""COMPUTED_VALUE"""),"maybee")</f>
        <v>maybee</v>
      </c>
      <c r="W168" s="64" t="str">
        <f ca="1">IFERROR(__xludf.DUMMYFUNCTION("""COMPUTED_VALUE"""),"Ranged")</f>
        <v>Ranged</v>
      </c>
      <c r="X168" s="64" t="str">
        <f ca="1">IFERROR(__xludf.DUMMYFUNCTION("""COMPUTED_VALUE"""),"PvZ 2, PvZ 2 Chinease")</f>
        <v>PvZ 2, PvZ 2 Chinease</v>
      </c>
      <c r="Y168" s="65" t="str">
        <f ca="1">IFERROR(__xludf.DUMMYFUNCTION("""COMPUTED_VALUE"""),"https://static.wikia.nocookie.net/plantsvszombies/images/3/38/MayBee2.png/revision/latest?cb=20230314003517")</f>
        <v>https://static.wikia.nocookie.net/plantsvszombies/images/3/38/MayBee2.png/revision/latest?cb=20230314003517</v>
      </c>
    </row>
    <row r="169" spans="1:25" x14ac:dyDescent="0.2">
      <c r="A169" s="64">
        <f ca="1">IFERROR(__xludf.DUMMYFUNCTION("""COMPUTED_VALUE"""),168)</f>
        <v>168</v>
      </c>
      <c r="B169" s="64" t="str">
        <f ca="1">IFERROR(__xludf.DUMMYFUNCTION("""COMPUTED_VALUE"""),"Scaredy-shroom")</f>
        <v>Scaredy-shroom</v>
      </c>
      <c r="C169" s="64" t="str">
        <f ca="1">IFERROR(__xludf.DUMMYFUNCTION("""COMPUTED_VALUE"""),"Medogumelo")</f>
        <v>Medogumelo</v>
      </c>
      <c r="D169" s="64" t="str">
        <f ca="1">IFERROR(__xludf.DUMMYFUNCTION("""COMPUTED_VALUE"""),"Envenenada")</f>
        <v>Envenenada</v>
      </c>
      <c r="E169" s="64" t="str">
        <f ca="1">IFERROR(__xludf.DUMMYFUNCTION("""COMPUTED_VALUE"""),"Dispara esporos contra zumbis, mas se esconde quando zumbis se aproximam, ganhando uma leve proteção.")</f>
        <v>Dispara esporos contra zumbis, mas se esconde quando zumbis se aproximam, ganhando uma leve proteção.</v>
      </c>
      <c r="F169" s="64">
        <f ca="1">IFERROR(__xludf.DUMMYFUNCTION("""COMPUTED_VALUE"""),25)</f>
        <v>25</v>
      </c>
      <c r="G169" s="64">
        <f ca="1">IFERROR(__xludf.DUMMYFUNCTION("""COMPUTED_VALUE"""),300)</f>
        <v>300</v>
      </c>
      <c r="H169" s="64">
        <f ca="1">IFERROR(__xludf.DUMMYFUNCTION("""COMPUTED_VALUE"""),20)</f>
        <v>20</v>
      </c>
      <c r="I169" s="64">
        <f ca="1">IFERROR(__xludf.DUMMYFUNCTION("""COMPUTED_VALUE"""),5)</f>
        <v>5</v>
      </c>
      <c r="J169" s="64" t="str">
        <f ca="1">IFERROR(__xludf.DUMMYFUNCTION("""COMPUTED_VALUE"""),"Scaredy-shroom rallies himself and surrounding Scaredy-shrooms to fire a stream of spores that push back advancing zombies.")</f>
        <v>Scaredy-shroom rallies himself and surrounding Scaredy-shrooms to fire a stream of spores that push back advancing zombies.</v>
      </c>
      <c r="K169" s="64" t="str">
        <f ca="1">IFERROR(__xludf.DUMMYFUNCTION("""COMPUTED_VALUE"""),"Scaredy-shroom has a stronger defense when hiding from zombies.")</f>
        <v>Scaredy-shroom has a stronger defense when hiding from zombies.</v>
      </c>
      <c r="L169" s="64"/>
      <c r="M169" s="64" t="b">
        <f ca="1">IFERROR(__xludf.DUMMYFUNCTION("""COMPUTED_VALUE"""),FALSE)</f>
        <v>0</v>
      </c>
      <c r="N169" s="64" t="b">
        <f ca="1">IFERROR(__xludf.DUMMYFUNCTION("""COMPUTED_VALUE"""),FALSE)</f>
        <v>0</v>
      </c>
      <c r="O169" s="64">
        <f ca="1">IFERROR(__xludf.DUMMYFUNCTION("""COMPUTED_VALUE"""),0)</f>
        <v>0</v>
      </c>
      <c r="P169" s="64" t="str">
        <f ca="1">IFERROR(__xludf.DUMMYFUNCTION("""COMPUTED_VALUE"""),"Uncommon")</f>
        <v>Uncommon</v>
      </c>
      <c r="Q169" s="64" t="str">
        <f ca="1">IFERROR(__xludf.DUMMYFUNCTION("""COMPUTED_VALUE"""),"damage_reduction")</f>
        <v>damage_reduction</v>
      </c>
      <c r="R169" s="64" t="str">
        <f ca="1">IFERROR(__xludf.DUMMYFUNCTION("""COMPUTED_VALUE"""),"Murshroom")</f>
        <v>Murshroom</v>
      </c>
      <c r="S169" s="64" t="str">
        <f ca="1">IFERROR(__xludf.DUMMYFUNCTION("""COMPUTED_VALUE"""),"Sementium")</f>
        <v>Sementium</v>
      </c>
      <c r="T169" s="64" t="str">
        <f ca="1">IFERROR(__xludf.DUMMYFUNCTION("""COMPUTED_VALUE"""),"None")</f>
        <v>None</v>
      </c>
      <c r="U169" s="64" t="str">
        <f ca="1">IFERROR(__xludf.DUMMYFUNCTION("""COMPUTED_VALUE"""),"0")</f>
        <v>0</v>
      </c>
      <c r="V169" s="64" t="str">
        <f ca="1">IFERROR(__xludf.DUMMYFUNCTION("""COMPUTED_VALUE"""),"scaredyshroom")</f>
        <v>scaredyshroom</v>
      </c>
      <c r="W169" s="64" t="str">
        <f ca="1">IFERROR(__xludf.DUMMYFUNCTION("""COMPUTED_VALUE"""),"Ranged")</f>
        <v>Ranged</v>
      </c>
      <c r="X169" s="64" t="str">
        <f ca="1">IFERROR(__xludf.DUMMYFUNCTION("""COMPUTED_VALUE"""),"PvZ, PvZ 2, PvZ GW, PvZ GW 2, PvZ BfN")</f>
        <v>PvZ, PvZ 2, PvZ GW, PvZ GW 2, PvZ BfN</v>
      </c>
      <c r="Y169" s="65" t="str">
        <f ca="1">IFERROR(__xludf.DUMMYFUNCTION("""COMPUTED_VALUE"""),"https://static.wikia.nocookie.net/plantsvszombies/images/1/13/Scaredy-shroom2.png/revision/latest?cb=20230415232226")</f>
        <v>https://static.wikia.nocookie.net/plantsvszombies/images/1/13/Scaredy-shroom2.png/revision/latest?cb=20230415232226</v>
      </c>
    </row>
    <row r="170" spans="1:25" x14ac:dyDescent="0.2">
      <c r="A170" s="64">
        <f ca="1">IFERROR(__xludf.DUMMYFUNCTION("""COMPUTED_VALUE"""),169)</f>
        <v>169</v>
      </c>
      <c r="B170" s="64" t="str">
        <f ca="1">IFERROR(__xludf.DUMMYFUNCTION("""COMPUTED_VALUE"""),"Bamboo Spartan")</f>
        <v>Bamboo Spartan</v>
      </c>
      <c r="C170" s="64" t="str">
        <f ca="1">IFERROR(__xludf.DUMMYFUNCTION("""COMPUTED_VALUE"""),"Bambu Espartano")</f>
        <v>Bambu Espartano</v>
      </c>
      <c r="D170" s="64" t="str">
        <f ca="1">IFERROR(__xludf.DUMMYFUNCTION("""COMPUTED_VALUE"""),"Perfura")</f>
        <v>Perfura</v>
      </c>
      <c r="E170" s="64" t="str">
        <f ca="1">IFERROR(__xludf.DUMMYFUNCTION("""COMPUTED_VALUE"""),"Tem um escudo que aguenta danos massívos, enqunto golpeia zumbis próximos. Quando seu escudo é quebrado seu dano é triplicado.")</f>
        <v>Tem um escudo que aguenta danos massívos, enqunto golpeia zumbis próximos. Quando seu escudo é quebrado seu dano é triplicado.</v>
      </c>
      <c r="F170" s="64">
        <f ca="1">IFERROR(__xludf.DUMMYFUNCTION("""COMPUTED_VALUE"""),175)</f>
        <v>175</v>
      </c>
      <c r="G170" s="64">
        <f ca="1">IFERROR(__xludf.DUMMYFUNCTION("""COMPUTED_VALUE"""),600)</f>
        <v>600</v>
      </c>
      <c r="H170" s="64">
        <f ca="1">IFERROR(__xludf.DUMMYFUNCTION("""COMPUTED_VALUE"""),70)</f>
        <v>70</v>
      </c>
      <c r="I170" s="64">
        <f ca="1">IFERROR(__xludf.DUMMYFUNCTION("""COMPUTED_VALUE"""),15)</f>
        <v>15</v>
      </c>
      <c r="J170" s="64" t="str">
        <f ca="1">IFERROR(__xludf.DUMMYFUNCTION("""COMPUTED_VALUE"""),"Slams its Spear to knockback zombies multiple times.")</f>
        <v>Slams its Spear to knockback zombies multiple times.</v>
      </c>
      <c r="K170" s="64" t="str">
        <f ca="1">IFERROR(__xludf.DUMMYFUNCTION("""COMPUTED_VALUE"""),"Bamboo Spartan can give and take a lot of punishment, making him a very effective frontliner.")</f>
        <v>Bamboo Spartan can give and take a lot of punishment, making him a very effective frontliner.</v>
      </c>
      <c r="L170" s="64" t="str">
        <f ca="1">IFERROR(__xludf.DUMMYFUNCTION("""COMPUTED_VALUE"""),"Special - Bamboo Spartan enters a Battle Trance once his shield shatters, increasing his damage.")</f>
        <v>Special - Bamboo Spartan enters a Battle Trance once his shield shatters, increasing his damage.</v>
      </c>
      <c r="M170" s="64" t="b">
        <f ca="1">IFERROR(__xludf.DUMMYFUNCTION("""COMPUTED_VALUE"""),FALSE)</f>
        <v>0</v>
      </c>
      <c r="N170" s="64" t="b">
        <f ca="1">IFERROR(__xludf.DUMMYFUNCTION("""COMPUTED_VALUE"""),FALSE)</f>
        <v>0</v>
      </c>
      <c r="O170" s="64">
        <f ca="1">IFERROR(__xludf.DUMMYFUNCTION("""COMPUTED_VALUE"""),0)</f>
        <v>0</v>
      </c>
      <c r="P170" s="64" t="str">
        <f ca="1">IFERROR(__xludf.DUMMYFUNCTION("""COMPUTED_VALUE"""),"Epic")</f>
        <v>Epic</v>
      </c>
      <c r="Q170" s="64"/>
      <c r="R170" s="64" t="str">
        <f ca="1">IFERROR(__xludf.DUMMYFUNCTION("""COMPUTED_VALUE"""),"Wood")</f>
        <v>Wood</v>
      </c>
      <c r="S170" s="64" t="str">
        <f ca="1">IFERROR(__xludf.DUMMYFUNCTION("""COMPUTED_VALUE"""),"Sementium")</f>
        <v>Sementium</v>
      </c>
      <c r="T170" s="64" t="str">
        <f ca="1">IFERROR(__xludf.DUMMYFUNCTION("""COMPUTED_VALUE"""),"1400")</f>
        <v>1400</v>
      </c>
      <c r="U170" s="64" t="str">
        <f ca="1">IFERROR(__xludf.DUMMYFUNCTION("""COMPUTED_VALUE"""),"None")</f>
        <v>None</v>
      </c>
      <c r="V170" s="64" t="str">
        <f ca="1">IFERROR(__xludf.DUMMYFUNCTION("""COMPUTED_VALUE"""),"bamboospartan")</f>
        <v>bamboospartan</v>
      </c>
      <c r="W170" s="64" t="str">
        <f ca="1">IFERROR(__xludf.DUMMYFUNCTION("""COMPUTED_VALUE"""),"Vanguard")</f>
        <v>Vanguard</v>
      </c>
      <c r="X170" s="64" t="str">
        <f ca="1">IFERROR(__xludf.DUMMYFUNCTION("""COMPUTED_VALUE"""),"PvZ 2, PvZ 2 Chinease")</f>
        <v>PvZ 2, PvZ 2 Chinease</v>
      </c>
      <c r="Y170" s="65" t="str">
        <f ca="1">IFERROR(__xludf.DUMMYFUNCTION("""COMPUTED_VALUE"""),"https://static.wikia.nocookie.net/plantsvszombies/images/0/0e/Bamboo_Spartan2.png/revision/latest?cb=20230419024648")</f>
        <v>https://static.wikia.nocookie.net/plantsvszombies/images/0/0e/Bamboo_Spartan2.png/revision/latest?cb=20230419024648</v>
      </c>
    </row>
    <row r="171" spans="1:25" x14ac:dyDescent="0.2">
      <c r="A171" s="64">
        <f ca="1">IFERROR(__xludf.DUMMYFUNCTION("""COMPUTED_VALUE"""),170)</f>
        <v>170</v>
      </c>
      <c r="B171" s="64" t="str">
        <f ca="1">IFERROR(__xludf.DUMMYFUNCTION("""COMPUTED_VALUE"""),"Sundew Tangler")</f>
        <v>Sundew Tangler</v>
      </c>
      <c r="C171" s="64" t="str">
        <f ca="1">IFERROR(__xludf.DUMMYFUNCTION("""COMPUTED_VALUE"""),"Enrosca-orvalho")</f>
        <v>Enrosca-orvalho</v>
      </c>
      <c r="D171" s="64" t="str">
        <f ca="1">IFERROR(__xludf.DUMMYFUNCTION("""COMPUTED_VALUE"""),"Esclarecida")</f>
        <v>Esclarecida</v>
      </c>
      <c r="E171" s="64" t="str">
        <f ca="1">IFERROR(__xludf.DUMMYFUNCTION("""COMPUTED_VALUE"""),"Prende um zumbi causando dano e gerando sóis adicionais. Esta planta é imortal.")</f>
        <v>Prende um zumbi causando dano e gerando sóis adicionais. Esta planta é imortal.</v>
      </c>
      <c r="F171" s="64">
        <f ca="1">IFERROR(__xludf.DUMMYFUNCTION("""COMPUTED_VALUE"""),100)</f>
        <v>100</v>
      </c>
      <c r="G171" s="64">
        <f ca="1">IFERROR(__xludf.DUMMYFUNCTION("""COMPUTED_VALUE"""),300)</f>
        <v>300</v>
      </c>
      <c r="H171" s="64">
        <f ca="1">IFERROR(__xludf.DUMMYFUNCTION("""COMPUTED_VALUE"""),26)</f>
        <v>26</v>
      </c>
      <c r="I171" s="64">
        <f ca="1">IFERROR(__xludf.DUMMYFUNCTION("""COMPUTED_VALUE"""),15)</f>
        <v>15</v>
      </c>
      <c r="J171" s="64" t="str">
        <f ca="1">IFERROR(__xludf.DUMMYFUNCTION("""COMPUTED_VALUE"""),"Entangle multiple zombies across the board to temporarily trap them and produce sun.")</f>
        <v>Entangle multiple zombies across the board to temporarily trap them and produce sun.</v>
      </c>
      <c r="K171" s="64" t="str">
        <f ca="1">IFERROR(__xludf.DUMMYFUNCTION("""COMPUTED_VALUE"""),"Sundew Tangler is an extremely efficient trap that can act as a secondary sun producer as well as a wall when it has a zombie in its clutches.")</f>
        <v>Sundew Tangler is an extremely efficient trap that can act as a secondary sun producer as well as a wall when it has a zombie in its clutches.</v>
      </c>
      <c r="L171" s="64" t="str">
        <f ca="1">IFERROR(__xludf.DUMMYFUNCTION("""COMPUTED_VALUE"""),"Special - Sundew Tangler can trap a Zombie and use it to block other enemies from advancing while periodically producing sun as it leeches the trapped Zombie.")</f>
        <v>Special - Sundew Tangler can trap a Zombie and use it to block other enemies from advancing while periodically producing sun as it leeches the trapped Zombie.</v>
      </c>
      <c r="M171" s="64" t="b">
        <f ca="1">IFERROR(__xludf.DUMMYFUNCTION("""COMPUTED_VALUE"""),FALSE)</f>
        <v>0</v>
      </c>
      <c r="N171" s="64" t="b">
        <f ca="1">IFERROR(__xludf.DUMMYFUNCTION("""COMPUTED_VALUE"""),FALSE)</f>
        <v>0</v>
      </c>
      <c r="O171" s="64">
        <f ca="1">IFERROR(__xludf.DUMMYFUNCTION("""COMPUTED_VALUE"""),50)</f>
        <v>50</v>
      </c>
      <c r="P171" s="64" t="str">
        <f ca="1">IFERROR(__xludf.DUMMYFUNCTION("""COMPUTED_VALUE"""),"Rare")</f>
        <v>Rare</v>
      </c>
      <c r="Q171" s="64" t="str">
        <f ca="1">IFERROR(__xludf.DUMMYFUNCTION("""COMPUTED_VALUE"""),"immortal, chomper")</f>
        <v>immortal, chomper</v>
      </c>
      <c r="R171" s="64" t="str">
        <f ca="1">IFERROR(__xludf.DUMMYFUNCTION("""COMPUTED_VALUE"""),"Flower")</f>
        <v>Flower</v>
      </c>
      <c r="S171" s="64" t="str">
        <f ca="1">IFERROR(__xludf.DUMMYFUNCTION("""COMPUTED_VALUE"""),"Sementium")</f>
        <v>Sementium</v>
      </c>
      <c r="T171" s="64" t="str">
        <f ca="1">IFERROR(__xludf.DUMMYFUNCTION("""COMPUTED_VALUE"""),"None")</f>
        <v>None</v>
      </c>
      <c r="U171" s="64" t="str">
        <f ca="1">IFERROR(__xludf.DUMMYFUNCTION("""COMPUTED_VALUE"""),"None")</f>
        <v>None</v>
      </c>
      <c r="V171" s="64" t="str">
        <f ca="1">IFERROR(__xludf.DUMMYFUNCTION("""COMPUTED_VALUE"""),"sundewtangler")</f>
        <v>sundewtangler</v>
      </c>
      <c r="W171" s="64" t="str">
        <f ca="1">IFERROR(__xludf.DUMMYFUNCTION("""COMPUTED_VALUE"""),"Sun")</f>
        <v>Sun</v>
      </c>
      <c r="X171" s="64" t="str">
        <f ca="1">IFERROR(__xludf.DUMMYFUNCTION("""COMPUTED_VALUE"""),"PvZ 2")</f>
        <v>PvZ 2</v>
      </c>
      <c r="Y171" s="65" t="str">
        <f ca="1">IFERROR(__xludf.DUMMYFUNCTION("""COMPUTED_VALUE"""),"https://static.wikia.nocookie.net/plantsvszombies/images/9/9e/Sundew_Tangler2.png/revision/latest?cb=20230607011345")</f>
        <v>https://static.wikia.nocookie.net/plantsvszombies/images/9/9e/Sundew_Tangler2.png/revision/latest?cb=20230607011345</v>
      </c>
    </row>
    <row r="172" spans="1:25" x14ac:dyDescent="0.2">
      <c r="A172" s="64">
        <f ca="1">IFERROR(__xludf.DUMMYFUNCTION("""COMPUTED_VALUE"""),171)</f>
        <v>171</v>
      </c>
      <c r="B172" s="64" t="str">
        <f ca="1">IFERROR(__xludf.DUMMYFUNCTION("""COMPUTED_VALUE"""),"Bean Sprout")</f>
        <v>Bean Sprout</v>
      </c>
      <c r="C172" s="64" t="str">
        <f ca="1">IFERROR(__xludf.DUMMYFUNCTION("""COMPUTED_VALUE"""),"Broto de Feijão")</f>
        <v>Broto de Feijão</v>
      </c>
      <c r="D172" s="64" t="str">
        <f ca="1">IFERROR(__xludf.DUMMYFUNCTION("""COMPUTED_VALUE"""),"Endurecida")</f>
        <v>Endurecida</v>
      </c>
      <c r="E172" s="64" t="str">
        <f ca="1">IFERROR(__xludf.DUMMYFUNCTION("""COMPUTED_VALUE"""),"Fornece uma proteção básica para as plantas, quando recebe dano, se transforma em um mostro que golpeia os zumbis próximos. Depois de um tempo ele se acalma e volta ao normal.")</f>
        <v>Fornece uma proteção básica para as plantas, quando recebe dano, se transforma em um mostro que golpeia os zumbis próximos. Depois de um tempo ele se acalma e volta ao normal.</v>
      </c>
      <c r="F172" s="64">
        <f ca="1">IFERROR(__xludf.DUMMYFUNCTION("""COMPUTED_VALUE"""),75)</f>
        <v>75</v>
      </c>
      <c r="G172" s="64">
        <f ca="1">IFERROR(__xludf.DUMMYFUNCTION("""COMPUTED_VALUE"""),2000)</f>
        <v>2000</v>
      </c>
      <c r="H172" s="64">
        <f ca="1">IFERROR(__xludf.DUMMYFUNCTION("""COMPUTED_VALUE"""),30)</f>
        <v>30</v>
      </c>
      <c r="I172" s="64">
        <f ca="1">IFERROR(__xludf.DUMMYFUNCTION("""COMPUTED_VALUE"""),12)</f>
        <v>12</v>
      </c>
      <c r="J172" s="64" t="str">
        <f ca="1">IFERROR(__xludf.DUMMYFUNCTION("""COMPUTED_VALUE"""),"Transforms into its monster form, if it wasn't already, and sends massive shockwaves both in front and behind him.")</f>
        <v>Transforms into its monster form, if it wasn't already, and sends massive shockwaves both in front and behind him.</v>
      </c>
      <c r="K172" s="64" t="str">
        <f ca="1">IFERROR(__xludf.DUMMYFUNCTION("""COMPUTED_VALUE"""),"Planting another Bean Sprout on an existing one, will force him into its monster form.")</f>
        <v>Planting another Bean Sprout on an existing one, will force him into its monster form.</v>
      </c>
      <c r="L172" s="64"/>
      <c r="M172" s="64" t="b">
        <f ca="1">IFERROR(__xludf.DUMMYFUNCTION("""COMPUTED_VALUE"""),FALSE)</f>
        <v>0</v>
      </c>
      <c r="N172" s="64" t="b">
        <f ca="1">IFERROR(__xludf.DUMMYFUNCTION("""COMPUTED_VALUE"""),FALSE)</f>
        <v>0</v>
      </c>
      <c r="O172" s="64">
        <f ca="1">IFERROR(__xludf.DUMMYFUNCTION("""COMPUTED_VALUE"""),0)</f>
        <v>0</v>
      </c>
      <c r="P172" s="64" t="str">
        <f ca="1">IFERROR(__xludf.DUMMYFUNCTION("""COMPUTED_VALUE"""),"Rare")</f>
        <v>Rare</v>
      </c>
      <c r="Q172" s="64" t="str">
        <f ca="1">IFERROR(__xludf.DUMMYFUNCTION("""COMPUTED_VALUE"""),"attack_backwards")</f>
        <v>attack_backwards</v>
      </c>
      <c r="R172" s="64" t="str">
        <f ca="1">IFERROR(__xludf.DUMMYFUNCTION("""COMPUTED_VALUE"""),"Bean")</f>
        <v>Bean</v>
      </c>
      <c r="S172" s="64" t="str">
        <f ca="1">IFERROR(__xludf.DUMMYFUNCTION("""COMPUTED_VALUE"""),"Sementium")</f>
        <v>Sementium</v>
      </c>
      <c r="T172" s="64" t="str">
        <f ca="1">IFERROR(__xludf.DUMMYFUNCTION("""COMPUTED_VALUE"""),"None")</f>
        <v>None</v>
      </c>
      <c r="U172" s="64" t="str">
        <f ca="1">IFERROR(__xludf.DUMMYFUNCTION("""COMPUTED_VALUE"""),"1400")</f>
        <v>1400</v>
      </c>
      <c r="V172" s="64" t="str">
        <f ca="1">IFERROR(__xludf.DUMMYFUNCTION("""COMPUTED_VALUE"""),"beansprout")</f>
        <v>beansprout</v>
      </c>
      <c r="W172" s="64" t="str">
        <f ca="1">IFERROR(__xludf.DUMMYFUNCTION("""COMPUTED_VALUE"""),"Vanguard")</f>
        <v>Vanguard</v>
      </c>
      <c r="X172" s="64" t="str">
        <f ca="1">IFERROR(__xludf.DUMMYFUNCTION("""COMPUTED_VALUE"""),"PvZ 2")</f>
        <v>PvZ 2</v>
      </c>
      <c r="Y172" s="65" t="str">
        <f ca="1">IFERROR(__xludf.DUMMYFUNCTION("""COMPUTED_VALUE"""),"https://static.wikia.nocookie.net/plantsvszombies/images/e/e9/Bean_Sprout2.png/revision/latest?cb=20230826230227")</f>
        <v>https://static.wikia.nocookie.net/plantsvszombies/images/e/e9/Bean_Sprout2.png/revision/latest?cb=20230826230227</v>
      </c>
    </row>
    <row r="173" spans="1:25" x14ac:dyDescent="0.2">
      <c r="A173" s="64">
        <f ca="1">IFERROR(__xludf.DUMMYFUNCTION("""COMPUTED_VALUE"""),172)</f>
        <v>172</v>
      </c>
      <c r="B173" s="64" t="str">
        <f ca="1">IFERROR(__xludf.DUMMYFUNCTION("""COMPUTED_VALUE"""),"Nightcap")</f>
        <v>Nightcap</v>
      </c>
      <c r="C173" s="64" t="str">
        <f ca="1">IFERROR(__xludf.DUMMYFUNCTION("""COMPUTED_VALUE"""),"Touquinha")</f>
        <v>Touquinha</v>
      </c>
      <c r="D173" s="64" t="str">
        <f ca="1">IFERROR(__xludf.DUMMYFUNCTION("""COMPUTED_VALUE"""),"Envenenada")</f>
        <v>Envenenada</v>
      </c>
      <c r="E173" s="64" t="str">
        <f ca="1">IFERROR(__xludf.DUMMYFUNCTION("""COMPUTED_VALUE"""),"Dispara esporos perfurantes contra zumbis envenenando, e ficando em um modo furtivo tóxico quando um zumbi se aproxima. Esta planta é imortal.")</f>
        <v>Dispara esporos perfurantes contra zumbis envenenando, e ficando em um modo furtivo tóxico quando um zumbi se aproxima. Esta planta é imortal.</v>
      </c>
      <c r="F173" s="64">
        <f ca="1">IFERROR(__xludf.DUMMYFUNCTION("""COMPUTED_VALUE"""),300)</f>
        <v>300</v>
      </c>
      <c r="G173" s="64">
        <f ca="1">IFERROR(__xludf.DUMMYFUNCTION("""COMPUTED_VALUE"""),300)</f>
        <v>300</v>
      </c>
      <c r="H173" s="64">
        <f ca="1">IFERROR(__xludf.DUMMYFUNCTION("""COMPUTED_VALUE"""),30)</f>
        <v>30</v>
      </c>
      <c r="I173" s="64">
        <f ca="1">IFERROR(__xludf.DUMMYFUNCTION("""COMPUTED_VALUE"""),5)</f>
        <v>5</v>
      </c>
      <c r="J173" s="64" t="str">
        <f ca="1">IFERROR(__xludf.DUMMYFUNCTION("""COMPUTED_VALUE"""),"Poison Zombies in 3 lanes and push them back!")</f>
        <v>Poison Zombies in 3 lanes and push them back!</v>
      </c>
      <c r="K173" s="64" t="str">
        <f ca="1">IFERROR(__xludf.DUMMYFUNCTION("""COMPUTED_VALUE"""),"Avoids most zombie attacks")</f>
        <v>Avoids most zombie attacks</v>
      </c>
      <c r="L173" s="64"/>
      <c r="M173" s="64" t="b">
        <f ca="1">IFERROR(__xludf.DUMMYFUNCTION("""COMPUTED_VALUE"""),FALSE)</f>
        <v>0</v>
      </c>
      <c r="N173" s="64" t="b">
        <f ca="1">IFERROR(__xludf.DUMMYFUNCTION("""COMPUTED_VALUE"""),FALSE)</f>
        <v>0</v>
      </c>
      <c r="O173" s="64">
        <f ca="1">IFERROR(__xludf.DUMMYFUNCTION("""COMPUTED_VALUE"""),0)</f>
        <v>0</v>
      </c>
      <c r="P173" s="64" t="str">
        <f ca="1">IFERROR(__xludf.DUMMYFUNCTION("""COMPUTED_VALUE"""),"Legendary")</f>
        <v>Legendary</v>
      </c>
      <c r="Q173" s="64" t="str">
        <f ca="1">IFERROR(__xludf.DUMMYFUNCTION("""COMPUTED_VALUE"""),"poison, immortal, area-effect")</f>
        <v>poison, immortal, area-effect</v>
      </c>
      <c r="R173" s="64" t="str">
        <f ca="1">IFERROR(__xludf.DUMMYFUNCTION("""COMPUTED_VALUE"""),"Murshroom")</f>
        <v>Murshroom</v>
      </c>
      <c r="S173" s="64" t="str">
        <f ca="1">IFERROR(__xludf.DUMMYFUNCTION("""COMPUTED_VALUE"""),"Sementium")</f>
        <v>Sementium</v>
      </c>
      <c r="T173" s="64" t="str">
        <f ca="1">IFERROR(__xludf.DUMMYFUNCTION("""COMPUTED_VALUE"""),"None")</f>
        <v>None</v>
      </c>
      <c r="U173" s="64" t="str">
        <f ca="1">IFERROR(__xludf.DUMMYFUNCTION("""COMPUTED_VALUE"""),"None")</f>
        <v>None</v>
      </c>
      <c r="V173" s="64" t="str">
        <f ca="1">IFERROR(__xludf.DUMMYFUNCTION("""COMPUTED_VALUE"""),"nightcap")</f>
        <v>nightcap</v>
      </c>
      <c r="W173" s="64" t="str">
        <f ca="1">IFERROR(__xludf.DUMMYFUNCTION("""COMPUTED_VALUE"""),"Ranged")</f>
        <v>Ranged</v>
      </c>
      <c r="X173" s="64" t="str">
        <f ca="1">IFERROR(__xludf.DUMMYFUNCTION("""COMPUTED_VALUE"""),"PvZ 2, PvZ 2 Chinease, PvZ Heroes, PvZ BfN")</f>
        <v>PvZ 2, PvZ 2 Chinease, PvZ Heroes, PvZ BfN</v>
      </c>
      <c r="Y173" s="65" t="str">
        <f ca="1">IFERROR(__xludf.DUMMYFUNCTION("""COMPUTED_VALUE"""),"https://static.wikia.nocookie.net/plantsvszombies/images/7/7f/Nightcap2.png/revision/latest?cb=20230314003500")</f>
        <v>https://static.wikia.nocookie.net/plantsvszombies/images/7/7f/Nightcap2.png/revision/latest?cb=20230314003500</v>
      </c>
    </row>
    <row r="174" spans="1:25" x14ac:dyDescent="0.2">
      <c r="A174" s="64">
        <f ca="1">IFERROR(__xludf.DUMMYFUNCTION("""COMPUTED_VALUE"""),173)</f>
        <v>173</v>
      </c>
      <c r="B174" s="64" t="str">
        <f ca="1">IFERROR(__xludf.DUMMYFUNCTION("""COMPUTED_VALUE"""),"Cran Jelly")</f>
        <v>Cran Jelly</v>
      </c>
      <c r="C174" s="64" t="str">
        <f ca="1">IFERROR(__xludf.DUMMYFUNCTION("""COMPUTED_VALUE"""),"Arantina")</f>
        <v>Arantina</v>
      </c>
      <c r="D174" s="64" t="str">
        <f ca="1">IFERROR(__xludf.DUMMYFUNCTION("""COMPUTED_VALUE"""),"Refrea")</f>
        <v>Refrea</v>
      </c>
      <c r="E174" s="64" t="str">
        <f ca="1">IFERROR(__xludf.DUMMYFUNCTION("""COMPUTED_VALUE"""),"Avança pela fileira golpeando os zumbis, deixando uma poça de jeleia pelo campo de diminui a velocidade dos zumbis. Pode gerar uma cópia desta planta nas colunas adjacentes.")</f>
        <v>Avança pela fileira golpeando os zumbis, deixando uma poça de jeleia pelo campo de diminui a velocidade dos zumbis. Pode gerar uma cópia desta planta nas colunas adjacentes.</v>
      </c>
      <c r="F174" s="64">
        <f ca="1">IFERROR(__xludf.DUMMYFUNCTION("""COMPUTED_VALUE"""),75)</f>
        <v>75</v>
      </c>
      <c r="G174" s="64">
        <f ca="1">IFERROR(__xludf.DUMMYFUNCTION("""COMPUTED_VALUE"""),1)</f>
        <v>1</v>
      </c>
      <c r="H174" s="64">
        <f ca="1">IFERROR(__xludf.DUMMYFUNCTION("""COMPUTED_VALUE"""),65)</f>
        <v>65</v>
      </c>
      <c r="I174" s="64">
        <f ca="1">IFERROR(__xludf.DUMMYFUNCTION("""COMPUTED_VALUE"""),10)</f>
        <v>10</v>
      </c>
      <c r="J174" s="64" t="str">
        <f ca="1">IFERROR(__xludf.DUMMYFUNCTION("""COMPUTED_VALUE"""),"No Plant Food effect")</f>
        <v>No Plant Food effect</v>
      </c>
      <c r="K174" s="64" t="str">
        <f ca="1">IFERROR(__xludf.DUMMYFUNCTION("""COMPUTED_VALUE"""),"Cran Jelly works best when zombies are clumped together. Level it up to increase the number of lanes it will roll down.")</f>
        <v>Cran Jelly works best when zombies are clumped together. Level it up to increase the number of lanes it will roll down.</v>
      </c>
      <c r="L174" s="64"/>
      <c r="M174" s="64" t="b">
        <f ca="1">IFERROR(__xludf.DUMMYFUNCTION("""COMPUTED_VALUE"""),TRUE)</f>
        <v>1</v>
      </c>
      <c r="N174" s="64" t="b">
        <f ca="1">IFERROR(__xludf.DUMMYFUNCTION("""COMPUTED_VALUE"""),TRUE)</f>
        <v>1</v>
      </c>
      <c r="O174" s="64">
        <f ca="1">IFERROR(__xludf.DUMMYFUNCTION("""COMPUTED_VALUE"""),0)</f>
        <v>0</v>
      </c>
      <c r="P174" s="64" t="str">
        <f ca="1">IFERROR(__xludf.DUMMYFUNCTION("""COMPUTED_VALUE"""),"Rare")</f>
        <v>Rare</v>
      </c>
      <c r="Q174" s="64" t="str">
        <f ca="1">IFERROR(__xludf.DUMMYFUNCTION("""COMPUTED_VALUE"""),"poison")</f>
        <v>poison</v>
      </c>
      <c r="R174" s="64" t="str">
        <f ca="1">IFERROR(__xludf.DUMMYFUNCTION("""COMPUTED_VALUE"""),"Berry")</f>
        <v>Berry</v>
      </c>
      <c r="S174" s="64" t="str">
        <f ca="1">IFERROR(__xludf.DUMMYFUNCTION("""COMPUTED_VALUE"""),"Sementium")</f>
        <v>Sementium</v>
      </c>
      <c r="T174" s="64" t="str">
        <f ca="1">IFERROR(__xludf.DUMMYFUNCTION("""COMPUTED_VALUE"""),"None")</f>
        <v>None</v>
      </c>
      <c r="U174" s="64" t="str">
        <f ca="1">IFERROR(__xludf.DUMMYFUNCTION("""COMPUTED_VALUE"""),"20")</f>
        <v>20</v>
      </c>
      <c r="V174" s="64" t="str">
        <f ca="1">IFERROR(__xludf.DUMMYFUNCTION("""COMPUTED_VALUE"""),"cranjelly")</f>
        <v>cranjelly</v>
      </c>
      <c r="W174" s="64" t="str">
        <f ca="1">IFERROR(__xludf.DUMMYFUNCTION("""COMPUTED_VALUE"""),"Special")</f>
        <v>Special</v>
      </c>
      <c r="X174" s="64" t="str">
        <f ca="1">IFERROR(__xludf.DUMMYFUNCTION("""COMPUTED_VALUE"""),"PvZ 2")</f>
        <v>PvZ 2</v>
      </c>
      <c r="Y174" s="65" t="str">
        <f ca="1">IFERROR(__xludf.DUMMYFUNCTION("""COMPUTED_VALUE"""),"https://static.wikia.nocookie.net/plantsvszombies/images/f/fc/Cran_Jelly2.png/revision/latest?cb=20230826073858")</f>
        <v>https://static.wikia.nocookie.net/plantsvszombies/images/f/fc/Cran_Jelly2.png/revision/latest?cb=20230826073858</v>
      </c>
    </row>
    <row r="175" spans="1:25" x14ac:dyDescent="0.2">
      <c r="A175" s="64">
        <f ca="1">IFERROR(__xludf.DUMMYFUNCTION("""COMPUTED_VALUE"""),174)</f>
        <v>174</v>
      </c>
      <c r="B175" s="64" t="str">
        <f ca="1">IFERROR(__xludf.DUMMYFUNCTION("""COMPUTED_VALUE"""),"Bud'uh Boom")</f>
        <v>Bud'uh Boom</v>
      </c>
      <c r="C175" s="64" t="str">
        <f ca="1">IFERROR(__xludf.DUMMYFUNCTION("""COMPUTED_VALUE"""),"Broto Bum")</f>
        <v>Broto Bum</v>
      </c>
      <c r="D175" s="64" t="str">
        <f ca="1">IFERROR(__xludf.DUMMYFUNCTION("""COMPUTED_VALUE"""),"Bombarda")</f>
        <v>Bombarda</v>
      </c>
      <c r="E175" s="64" t="str">
        <f ca="1">IFERROR(__xludf.DUMMYFUNCTION("""COMPUTED_VALUE"""),"Explode em uma área causando dano e amanteigando zumbis pelo campo.")</f>
        <v>Explode em uma área causando dano e amanteigando zumbis pelo campo.</v>
      </c>
      <c r="F175" s="64">
        <f ca="1">IFERROR(__xludf.DUMMYFUNCTION("""COMPUTED_VALUE"""),100)</f>
        <v>100</v>
      </c>
      <c r="G175" s="64">
        <f ca="1">IFERROR(__xludf.DUMMYFUNCTION("""COMPUTED_VALUE"""),1)</f>
        <v>1</v>
      </c>
      <c r="H175" s="64">
        <f ca="1">IFERROR(__xludf.DUMMYFUNCTION("""COMPUTED_VALUE"""),1000)</f>
        <v>1000</v>
      </c>
      <c r="I175" s="64">
        <f ca="1">IFERROR(__xludf.DUMMYFUNCTION("""COMPUTED_VALUE"""),35)</f>
        <v>35</v>
      </c>
      <c r="J175" s="64" t="str">
        <f ca="1">IFERROR(__xludf.DUMMYFUNCTION("""COMPUTED_VALUE"""),"No Plant Food effect")</f>
        <v>No Plant Food effect</v>
      </c>
      <c r="K175" s="64" t="str">
        <f ca="1">IFERROR(__xludf.DUMMYFUNCTION("""COMPUTED_VALUE"""),"Bud'uh Boom makes short work of clumped up zombies. Level it up to increase the amount of butter traps he will fling around the board.")</f>
        <v>Bud'uh Boom makes short work of clumped up zombies. Level it up to increase the amount of butter traps he will fling around the board.</v>
      </c>
      <c r="L175" s="64"/>
      <c r="M175" s="64" t="b">
        <f ca="1">IFERROR(__xludf.DUMMYFUNCTION("""COMPUTED_VALUE"""),TRUE)</f>
        <v>1</v>
      </c>
      <c r="N175" s="64" t="b">
        <f ca="1">IFERROR(__xludf.DUMMYFUNCTION("""COMPUTED_VALUE"""),TRUE)</f>
        <v>1</v>
      </c>
      <c r="O175" s="64">
        <f ca="1">IFERROR(__xludf.DUMMYFUNCTION("""COMPUTED_VALUE"""),0)</f>
        <v>0</v>
      </c>
      <c r="P175" s="64" t="str">
        <f ca="1">IFERROR(__xludf.DUMMYFUNCTION("""COMPUTED_VALUE"""),"Rare")</f>
        <v>Rare</v>
      </c>
      <c r="Q175" s="64" t="str">
        <f ca="1">IFERROR(__xludf.DUMMYFUNCTION("""COMPUTED_VALUE"""),"area-effect, explosion, butter")</f>
        <v>area-effect, explosion, butter</v>
      </c>
      <c r="R175" s="64" t="str">
        <f ca="1">IFERROR(__xludf.DUMMYFUNCTION("""COMPUTED_VALUE"""),"Leaf")</f>
        <v>Leaf</v>
      </c>
      <c r="S175" s="64" t="str">
        <f ca="1">IFERROR(__xludf.DUMMYFUNCTION("""COMPUTED_VALUE"""),"Sementium")</f>
        <v>Sementium</v>
      </c>
      <c r="T175" s="64" t="str">
        <f ca="1">IFERROR(__xludf.DUMMYFUNCTION("""COMPUTED_VALUE"""),"None")</f>
        <v>None</v>
      </c>
      <c r="U175" s="64" t="str">
        <f ca="1">IFERROR(__xludf.DUMMYFUNCTION("""COMPUTED_VALUE"""),"25")</f>
        <v>25</v>
      </c>
      <c r="V175" s="64" t="str">
        <f ca="1">IFERROR(__xludf.DUMMYFUNCTION("""COMPUTED_VALUE"""),"buduhboom")</f>
        <v>buduhboom</v>
      </c>
      <c r="W175" s="64" t="str">
        <f ca="1">IFERROR(__xludf.DUMMYFUNCTION("""COMPUTED_VALUE"""),"Special")</f>
        <v>Special</v>
      </c>
      <c r="X175" s="64" t="str">
        <f ca="1">IFERROR(__xludf.DUMMYFUNCTION("""COMPUTED_VALUE"""),"PvZ 2")</f>
        <v>PvZ 2</v>
      </c>
      <c r="Y175" s="65" t="str">
        <f ca="1">IFERROR(__xludf.DUMMYFUNCTION("""COMPUTED_VALUE"""),"https://static.wikia.nocookie.net/plantsvszombies/images/6/60/Bud%27uh_Boom2.png/revision/latest?cb=20231129165733")</f>
        <v>https://static.wikia.nocookie.net/plantsvszombies/images/6/60/Bud%27uh_Boom2.png/revision/latest?cb=20231129165733</v>
      </c>
    </row>
    <row r="176" spans="1:25" x14ac:dyDescent="0.2">
      <c r="A176" s="64">
        <f ca="1">IFERROR(__xludf.DUMMYFUNCTION("""COMPUTED_VALUE"""),175)</f>
        <v>175</v>
      </c>
      <c r="B176" s="64" t="str">
        <f ca="1">IFERROR(__xludf.DUMMYFUNCTION("""COMPUTED_VALUE"""),"Ice-shroom")</f>
        <v>Ice-shroom</v>
      </c>
      <c r="C176" s="64" t="str">
        <f ca="1">IFERROR(__xludf.DUMMYFUNCTION("""COMPUTED_VALUE"""),"Gelogumelo")</f>
        <v>Gelogumelo</v>
      </c>
      <c r="D176" s="64" t="str">
        <f ca="1">IFERROR(__xludf.DUMMYFUNCTION("""COMPUTED_VALUE"""),"Resfriada")</f>
        <v>Resfriada</v>
      </c>
      <c r="E176" s="64" t="str">
        <f ca="1">IFERROR(__xludf.DUMMYFUNCTION("""COMPUTED_VALUE"""),"Golpeia zumbis próximos, e emite uma aura gélida que resfria zumbis e fortalece plantas Resfriadas.")</f>
        <v>Golpeia zumbis próximos, e emite uma aura gélida que resfria zumbis e fortalece plantas Resfriadas.</v>
      </c>
      <c r="F176" s="64">
        <f ca="1">IFERROR(__xludf.DUMMYFUNCTION("""COMPUTED_VALUE"""),175)</f>
        <v>175</v>
      </c>
      <c r="G176" s="64">
        <f ca="1">IFERROR(__xludf.DUMMYFUNCTION("""COMPUTED_VALUE"""),550)</f>
        <v>550</v>
      </c>
      <c r="H176" s="64">
        <f ca="1">IFERROR(__xludf.DUMMYFUNCTION("""COMPUTED_VALUE"""),200)</f>
        <v>200</v>
      </c>
      <c r="I176" s="64">
        <f ca="1">IFERROR(__xludf.DUMMYFUNCTION("""COMPUTED_VALUE"""),12)</f>
        <v>12</v>
      </c>
      <c r="J176" s="64" t="str">
        <f ca="1">IFERROR(__xludf.DUMMYFUNCTION("""COMPUTED_VALUE"""),"Lobs several icicles at random zombies across the field.")</f>
        <v>Lobs several icicles at random zombies across the field.</v>
      </c>
      <c r="K176" s="64" t="str">
        <f ca="1">IFERROR(__xludf.DUMMYFUNCTION("""COMPUTED_VALUE"""),"Cluster other Winter-mints plants around Ice-shroom to gain a massive damage bonus.")</f>
        <v>Cluster other Winter-mints plants around Ice-shroom to gain a massive damage bonus.</v>
      </c>
      <c r="L176" s="64"/>
      <c r="M176" s="64" t="b">
        <f ca="1">IFERROR(__xludf.DUMMYFUNCTION("""COMPUTED_VALUE"""),FALSE)</f>
        <v>0</v>
      </c>
      <c r="N176" s="64" t="b">
        <f ca="1">IFERROR(__xludf.DUMMYFUNCTION("""COMPUTED_VALUE"""),FALSE)</f>
        <v>0</v>
      </c>
      <c r="O176" s="64">
        <f ca="1">IFERROR(__xludf.DUMMYFUNCTION("""COMPUTED_VALUE"""),0)</f>
        <v>0</v>
      </c>
      <c r="P176" s="64" t="str">
        <f ca="1">IFERROR(__xludf.DUMMYFUNCTION("""COMPUTED_VALUE"""),"Epic")</f>
        <v>Epic</v>
      </c>
      <c r="Q176" s="64" t="str">
        <f ca="1">IFERROR(__xludf.DUMMYFUNCTION("""COMPUTED_VALUE"""),"area-effect, chilling")</f>
        <v>area-effect, chilling</v>
      </c>
      <c r="R176" s="64" t="str">
        <f ca="1">IFERROR(__xludf.DUMMYFUNCTION("""COMPUTED_VALUE"""),"Murshroom")</f>
        <v>Murshroom</v>
      </c>
      <c r="S176" s="64" t="str">
        <f ca="1">IFERROR(__xludf.DUMMYFUNCTION("""COMPUTED_VALUE"""),"Sementium")</f>
        <v>Sementium</v>
      </c>
      <c r="T176" s="64" t="str">
        <f ca="1">IFERROR(__xludf.DUMMYFUNCTION("""COMPUTED_VALUE"""),"None")</f>
        <v>None</v>
      </c>
      <c r="U176" s="64" t="str">
        <f ca="1">IFERROR(__xludf.DUMMYFUNCTION("""COMPUTED_VALUE"""),"0")</f>
        <v>0</v>
      </c>
      <c r="V176" s="64" t="str">
        <f ca="1">IFERROR(__xludf.DUMMYFUNCTION("""COMPUTED_VALUE"""),"iceshroom")</f>
        <v>iceshroom</v>
      </c>
      <c r="W176" s="64" t="str">
        <f ca="1">IFERROR(__xludf.DUMMYFUNCTION("""COMPUTED_VALUE"""),"Vanguard")</f>
        <v>Vanguard</v>
      </c>
      <c r="X176" s="64" t="str">
        <f ca="1">IFERROR(__xludf.DUMMYFUNCTION("""COMPUTED_VALUE"""),"PvZ, PvZ 2, PvZ GW, PvZ GW 2")</f>
        <v>PvZ, PvZ 2, PvZ GW, PvZ GW 2</v>
      </c>
      <c r="Y176" s="65" t="str">
        <f ca="1">IFERROR(__xludf.DUMMYFUNCTION("""COMPUTED_VALUE"""),"https://static.wikia.nocookie.net/plantsvszombies/images/7/77/Ice-shroom2.png/revision/latest?cb=20231123040702")</f>
        <v>https://static.wikia.nocookie.net/plantsvszombies/images/7/77/Ice-shroom2.png/revision/latest?cb=20231123040702</v>
      </c>
    </row>
    <row r="177" spans="1:25" x14ac:dyDescent="0.2">
      <c r="A177" s="64">
        <f ca="1">IFERROR(__xludf.DUMMYFUNCTION("""COMPUTED_VALUE"""),176)</f>
        <v>176</v>
      </c>
      <c r="B177" s="64" t="str">
        <f ca="1">IFERROR(__xludf.DUMMYFUNCTION("""COMPUTED_VALUE"""),"Dragon Bruit")</f>
        <v>Dragon Bruit</v>
      </c>
      <c r="C177" s="64" t="str">
        <f ca="1">IFERROR(__xludf.DUMMYFUNCTION("""COMPUTED_VALUE"""),"Dragamontes")</f>
        <v>Dragamontes</v>
      </c>
      <c r="D177" s="64" t="str">
        <f ca="1">IFERROR(__xludf.DUMMYFUNCTION("""COMPUTED_VALUE"""),"Sombra")</f>
        <v>Sombra</v>
      </c>
      <c r="E177" s="64" t="str">
        <f ca="1">IFERROR(__xludf.DUMMYFUNCTION("""COMPUTED_VALUE"""),"Lança 3 sementes em parábola na sua fileira e nas adjacentes. Quando energizada, seus disparos causam veneno. Quando morre, cria 3 Dragomonte sementes na sua fileira e nas adjacentes.")</f>
        <v>Lança 3 sementes em parábola na sua fileira e nas adjacentes. Quando energizada, seus disparos causam veneno. Quando morre, cria 3 Dragomonte sementes na sua fileira e nas adjacentes.</v>
      </c>
      <c r="F177" s="64">
        <f ca="1">IFERROR(__xludf.DUMMYFUNCTION("""COMPUTED_VALUE"""),200)</f>
        <v>200</v>
      </c>
      <c r="G177" s="64">
        <f ca="1">IFERROR(__xludf.DUMMYFUNCTION("""COMPUTED_VALUE"""),350)</f>
        <v>350</v>
      </c>
      <c r="H177" s="64">
        <f ca="1">IFERROR(__xludf.DUMMYFUNCTION("""COMPUTED_VALUE"""),100)</f>
        <v>100</v>
      </c>
      <c r="I177" s="64">
        <f ca="1">IFERROR(__xludf.DUMMYFUNCTION("""COMPUTED_VALUE"""),10)</f>
        <v>10</v>
      </c>
      <c r="J177" s="64" t="str">
        <f ca="1">IFERROR(__xludf.DUMMYFUNCTION("""COMPUTED_VALUE"""),"Launches projectiles at every zombie on the lawn. Can be boosted by Shadow Aura.")</f>
        <v>Launches projectiles at every zombie on the lawn. Can be boosted by Shadow Aura.</v>
      </c>
      <c r="K177" s="64" t="str">
        <f ca="1">IFERROR(__xludf.DUMMYFUNCTION("""COMPUTED_VALUE"""),"Properly placed your Dragon Bruit and can attack zombies across 3 adjacent lanes.")</f>
        <v>Properly placed your Dragon Bruit and can attack zombies across 3 adjacent lanes.</v>
      </c>
      <c r="L177" s="64" t="str">
        <f ca="1">IFERROR(__xludf.DUMMYFUNCTION("""COMPUTED_VALUE"""),"Special - When powered by Shadow Aura, projectiles will also apply poison.")</f>
        <v>Special - When powered by Shadow Aura, projectiles will also apply poison.</v>
      </c>
      <c r="M177" s="64" t="b">
        <f ca="1">IFERROR(__xludf.DUMMYFUNCTION("""COMPUTED_VALUE"""),FALSE)</f>
        <v>0</v>
      </c>
      <c r="N177" s="64" t="b">
        <f ca="1">IFERROR(__xludf.DUMMYFUNCTION("""COMPUTED_VALUE"""),FALSE)</f>
        <v>0</v>
      </c>
      <c r="O177" s="64">
        <f ca="1">IFERROR(__xludf.DUMMYFUNCTION("""COMPUTED_VALUE"""),0)</f>
        <v>0</v>
      </c>
      <c r="P177" s="64" t="str">
        <f ca="1">IFERROR(__xludf.DUMMYFUNCTION("""COMPUTED_VALUE"""),"Epic")</f>
        <v>Epic</v>
      </c>
      <c r="Q177" s="64" t="str">
        <f ca="1">IFERROR(__xludf.DUMMYFUNCTION("""COMPUTED_VALUE"""),"zodiac, dragon, summon")</f>
        <v>zodiac, dragon, summon</v>
      </c>
      <c r="R177" s="64" t="str">
        <f ca="1">IFERROR(__xludf.DUMMYFUNCTION("""COMPUTED_VALUE"""),"Fruit")</f>
        <v>Fruit</v>
      </c>
      <c r="S177" s="64" t="str">
        <f ca="1">IFERROR(__xludf.DUMMYFUNCTION("""COMPUTED_VALUE"""),"Sementium")</f>
        <v>Sementium</v>
      </c>
      <c r="T177" s="64" t="str">
        <f ca="1">IFERROR(__xludf.DUMMYFUNCTION("""COMPUTED_VALUE"""),"300")</f>
        <v>300</v>
      </c>
      <c r="U177" s="64" t="str">
        <f ca="1">IFERROR(__xludf.DUMMYFUNCTION("""COMPUTED_VALUE"""),"70")</f>
        <v>70</v>
      </c>
      <c r="V177" s="64" t="str">
        <f ca="1">IFERROR(__xludf.DUMMYFUNCTION("""COMPUTED_VALUE"""),"dragonbruit")</f>
        <v>dragonbruit</v>
      </c>
      <c r="W177" s="64" t="str">
        <f ca="1">IFERROR(__xludf.DUMMYFUNCTION("""COMPUTED_VALUE"""),"Ranged")</f>
        <v>Ranged</v>
      </c>
      <c r="X177" s="64" t="str">
        <f ca="1">IFERROR(__xludf.DUMMYFUNCTION("""COMPUTED_VALUE"""),"PvZ 2, PvZ 2 Chinease")</f>
        <v>PvZ 2, PvZ 2 Chinease</v>
      </c>
      <c r="Y177" s="65" t="str">
        <f ca="1">IFERROR(__xludf.DUMMYFUNCTION("""COMPUTED_VALUE"""),"https://static.wikia.nocookie.net/plantsvszombies/images/a/a9/Dragon_Bruit2.png/revision/latest?cb=20231218173201")</f>
        <v>https://static.wikia.nocookie.net/plantsvszombies/images/a/a9/Dragon_Bruit2.png/revision/latest?cb=20231218173201</v>
      </c>
    </row>
    <row r="178" spans="1:25" x14ac:dyDescent="0.2">
      <c r="A178" s="64">
        <f ca="1">IFERROR(__xludf.DUMMYFUNCTION("""COMPUTED_VALUE"""),177)</f>
        <v>177</v>
      </c>
      <c r="B178" s="64" t="str">
        <f ca="1">IFERROR(__xludf.DUMMYFUNCTION("""COMPUTED_VALUE"""),"Electric Peel")</f>
        <v>Electric Peel</v>
      </c>
      <c r="C178" s="64" t="str">
        <f ca="1">IFERROR(__xludf.DUMMYFUNCTION("""COMPUTED_VALUE"""),"Casca Elétrica")</f>
        <v>Casca Elétrica</v>
      </c>
      <c r="D178" s="64" t="str">
        <f ca="1">IFERROR(__xludf.DUMMYFUNCTION("""COMPUTED_VALUE"""),"Fila")</f>
        <v>Fila</v>
      </c>
      <c r="E178" s="64" t="str">
        <f ca="1">IFERROR(__xludf.DUMMYFUNCTION("""COMPUTED_VALUE"""),"Planta anfíbia. Ataca os zumbis duas vezes por ataque. Causa mais dano na água.")</f>
        <v>Planta anfíbia. Ataca os zumbis duas vezes por ataque. Causa mais dano na água.</v>
      </c>
      <c r="F178" s="64">
        <f ca="1">IFERROR(__xludf.DUMMYFUNCTION("""COMPUTED_VALUE"""),125)</f>
        <v>125</v>
      </c>
      <c r="G178" s="64">
        <f ca="1">IFERROR(__xludf.DUMMYFUNCTION("""COMPUTED_VALUE"""),300)</f>
        <v>300</v>
      </c>
      <c r="H178" s="64">
        <f ca="1">IFERROR(__xludf.DUMMYFUNCTION("""COMPUTED_VALUE"""),30)</f>
        <v>30</v>
      </c>
      <c r="I178" s="64">
        <f ca="1">IFERROR(__xludf.DUMMYFUNCTION("""COMPUTED_VALUE"""),15)</f>
        <v>15</v>
      </c>
      <c r="J178" s="64" t="str">
        <f ca="1">IFERROR(__xludf.DUMMYFUNCTION("""COMPUTED_VALUE"""),"Releases a giant Super Peel down the lane to deal massive damage to all zombies in its path.")</f>
        <v>Releases a giant Super Peel down the lane to deal massive damage to all zombies in its path.</v>
      </c>
      <c r="K178" s="64" t="str">
        <f ca="1">IFERROR(__xludf.DUMMYFUNCTION("""COMPUTED_VALUE"""),"Electric Peel gets boosted damage on water tiles and applies DOT damage on tiles.")</f>
        <v>Electric Peel gets boosted damage on water tiles and applies DOT damage on tiles.</v>
      </c>
      <c r="L178" s="64" t="str">
        <f ca="1">IFERROR(__xludf.DUMMYFUNCTION("""COMPUTED_VALUE"""),"Special - When planted on water, its damage is increased. The Peel applies an Electrifying Condition to the tiles it travels on.
Electrified Condition - Electrified Zombies take damage over time as long as they occupy the tiles that have been Electrified.")</f>
        <v>Special - When planted on water, its damage is increased. The Peel applies an Electrifying Condition to the tiles it travels on.
Electrified Condition - Electrified Zombies take damage over time as long as they occupy the tiles that have been Electrified.</v>
      </c>
      <c r="M178" s="64" t="b">
        <f ca="1">IFERROR(__xludf.DUMMYFUNCTION("""COMPUTED_VALUE"""),FALSE)</f>
        <v>0</v>
      </c>
      <c r="N178" s="64" t="b">
        <f ca="1">IFERROR(__xludf.DUMMYFUNCTION("""COMPUTED_VALUE"""),FALSE)</f>
        <v>0</v>
      </c>
      <c r="O178" s="64">
        <f ca="1">IFERROR(__xludf.DUMMYFUNCTION("""COMPUTED_VALUE"""),0)</f>
        <v>0</v>
      </c>
      <c r="P178" s="64" t="str">
        <f ca="1">IFERROR(__xludf.DUMMYFUNCTION("""COMPUTED_VALUE"""),"Rare")</f>
        <v>Rare</v>
      </c>
      <c r="Q178" s="64" t="str">
        <f ca="1">IFERROR(__xludf.DUMMYFUNCTION("""COMPUTED_VALUE"""),"aquatic, chain_attack")</f>
        <v>aquatic, chain_attack</v>
      </c>
      <c r="R178" s="64" t="str">
        <f ca="1">IFERROR(__xludf.DUMMYFUNCTION("""COMPUTED_VALUE"""),"Fruit")</f>
        <v>Fruit</v>
      </c>
      <c r="S178" s="64" t="str">
        <f ca="1">IFERROR(__xludf.DUMMYFUNCTION("""COMPUTED_VALUE"""),"Sementium")</f>
        <v>Sementium</v>
      </c>
      <c r="T178" s="64" t="str">
        <f ca="1">IFERROR(__xludf.DUMMYFUNCTION("""COMPUTED_VALUE"""),"None")</f>
        <v>None</v>
      </c>
      <c r="U178" s="64" t="str">
        <f ca="1">IFERROR(__xludf.DUMMYFUNCTION("""COMPUTED_VALUE"""),"65")</f>
        <v>65</v>
      </c>
      <c r="V178" s="64" t="str">
        <f ca="1">IFERROR(__xludf.DUMMYFUNCTION("""COMPUTED_VALUE"""),"electricpeel")</f>
        <v>electricpeel</v>
      </c>
      <c r="W178" s="64" t="str">
        <f ca="1">IFERROR(__xludf.DUMMYFUNCTION("""COMPUTED_VALUE"""),"Ranged")</f>
        <v>Ranged</v>
      </c>
      <c r="X178" s="64" t="str">
        <f ca="1">IFERROR(__xludf.DUMMYFUNCTION("""COMPUTED_VALUE"""),"PvZ 2, PvZ 2 Chinease")</f>
        <v>PvZ 2, PvZ 2 Chinease</v>
      </c>
      <c r="Y178" s="65" t="str">
        <f ca="1">IFERROR(__xludf.DUMMYFUNCTION("""COMPUTED_VALUE"""),"https://static.wikia.nocookie.net/plantsvszombies/images/4/49/Electric_Peel2.png/revision/latest?cb=20240321225940")</f>
        <v>https://static.wikia.nocookie.net/plantsvszombies/images/4/49/Electric_Peel2.png/revision/latest?cb=20240321225940</v>
      </c>
    </row>
    <row r="179" spans="1:25" x14ac:dyDescent="0.2">
      <c r="A179" s="64">
        <f ca="1">IFERROR(__xludf.DUMMYFUNCTION("""COMPUTED_VALUE"""),178)</f>
        <v>178</v>
      </c>
      <c r="B179" s="64" t="str">
        <f ca="1">IFERROR(__xludf.DUMMYFUNCTION("""COMPUTED_VALUE"""),"Sea-shroom")</f>
        <v>Sea-shroom</v>
      </c>
      <c r="C179" s="64" t="str">
        <f ca="1">IFERROR(__xludf.DUMMYFUNCTION("""COMPUTED_VALUE"""),"Cogumarinho")</f>
        <v>Cogumarinho</v>
      </c>
      <c r="D179" s="64" t="str">
        <f ca="1">IFERROR(__xludf.DUMMYFUNCTION("""COMPUTED_VALUE"""),"Envenenada")</f>
        <v>Envenenada</v>
      </c>
      <c r="E179" s="64" t="str">
        <f ca="1">IFERROR(__xludf.DUMMYFUNCTION("""COMPUTED_VALUE"""),"Dispara esporos contra zumbis por um período limitado de tempo. Só pode ser plantada na água.")</f>
        <v>Dispara esporos contra zumbis por um período limitado de tempo. Só pode ser plantada na água.</v>
      </c>
      <c r="F179" s="64">
        <f ca="1">IFERROR(__xludf.DUMMYFUNCTION("""COMPUTED_VALUE"""),0)</f>
        <v>0</v>
      </c>
      <c r="G179" s="64">
        <f ca="1">IFERROR(__xludf.DUMMYFUNCTION("""COMPUTED_VALUE"""),300)</f>
        <v>300</v>
      </c>
      <c r="H179" s="64">
        <f ca="1">IFERROR(__xludf.DUMMYFUNCTION("""COMPUTED_VALUE"""),30)</f>
        <v>30</v>
      </c>
      <c r="I179" s="64">
        <f ca="1">IFERROR(__xludf.DUMMYFUNCTION("""COMPUTED_VALUE"""),5)</f>
        <v>5</v>
      </c>
      <c r="J179" s="64" t="str">
        <f ca="1">IFERROR(__xludf.DUMMYFUNCTION("""COMPUTED_VALUE"""),"Creates a clone of itself, resets the wither timer on all Sea-shroom on the gameboard, then triggers all Sea-shroom to fire a stream of spores.")</f>
        <v>Creates a clone of itself, resets the wither timer on all Sea-shroom on the gameboard, then triggers all Sea-shroom to fire a stream of spores.</v>
      </c>
      <c r="K179" s="64" t="str">
        <f ca="1">IFERROR(__xludf.DUMMYFUNCTION("""COMPUTED_VALUE"""),"Applying Plant Food to Sea-shroom will reset all Sea-shroom wither timers, as well as trigger every Sea-shroom to fire their spore stream.")</f>
        <v>Applying Plant Food to Sea-shroom will reset all Sea-shroom wither timers, as well as trigger every Sea-shroom to fire their spore stream.</v>
      </c>
      <c r="L179" s="64"/>
      <c r="M179" s="64" t="b">
        <f ca="1">IFERROR(__xludf.DUMMYFUNCTION("""COMPUTED_VALUE"""),FALSE)</f>
        <v>0</v>
      </c>
      <c r="N179" s="64" t="b">
        <f ca="1">IFERROR(__xludf.DUMMYFUNCTION("""COMPUTED_VALUE"""),FALSE)</f>
        <v>0</v>
      </c>
      <c r="O179" s="64">
        <f ca="1">IFERROR(__xludf.DUMMYFUNCTION("""COMPUTED_VALUE"""),0)</f>
        <v>0</v>
      </c>
      <c r="P179" s="64" t="str">
        <f ca="1">IFERROR(__xludf.DUMMYFUNCTION("""COMPUTED_VALUE"""),"Common")</f>
        <v>Common</v>
      </c>
      <c r="Q179" s="64" t="str">
        <f ca="1">IFERROR(__xludf.DUMMYFUNCTION("""COMPUTED_VALUE"""),"aquatic, fade")</f>
        <v>aquatic, fade</v>
      </c>
      <c r="R179" s="64" t="str">
        <f ca="1">IFERROR(__xludf.DUMMYFUNCTION("""COMPUTED_VALUE"""),"Murshroom")</f>
        <v>Murshroom</v>
      </c>
      <c r="S179" s="64" t="str">
        <f ca="1">IFERROR(__xludf.DUMMYFUNCTION("""COMPUTED_VALUE"""),"Sementium")</f>
        <v>Sementium</v>
      </c>
      <c r="T179" s="64" t="str">
        <f ca="1">IFERROR(__xludf.DUMMYFUNCTION("""COMPUTED_VALUE"""),"None")</f>
        <v>None</v>
      </c>
      <c r="U179" s="64" t="str">
        <f ca="1">IFERROR(__xludf.DUMMYFUNCTION("""COMPUTED_VALUE"""),"None")</f>
        <v>None</v>
      </c>
      <c r="V179" s="64" t="str">
        <f ca="1">IFERROR(__xludf.DUMMYFUNCTION("""COMPUTED_VALUE"""),"seashroom")</f>
        <v>seashroom</v>
      </c>
      <c r="W179" s="64" t="str">
        <f ca="1">IFERROR(__xludf.DUMMYFUNCTION("""COMPUTED_VALUE"""),"Vanguard")</f>
        <v>Vanguard</v>
      </c>
      <c r="X179" s="64" t="str">
        <f ca="1">IFERROR(__xludf.DUMMYFUNCTION("""COMPUTED_VALUE"""),"PvZ, PvZ 2, PvZ Heroes")</f>
        <v>PvZ, PvZ 2, PvZ Heroes</v>
      </c>
      <c r="Y179" s="65" t="str">
        <f ca="1">IFERROR(__xludf.DUMMYFUNCTION("""COMPUTED_VALUE"""),"https://static.wikia.nocookie.net/plantsvszombies/images/d/dd/Sea-shroom2.png/revision/latest?cb=20240506102548")</f>
        <v>https://static.wikia.nocookie.net/plantsvszombies/images/d/dd/Sea-shroom2.png/revision/latest?cb=20240506102548</v>
      </c>
    </row>
    <row r="180" spans="1:25" x14ac:dyDescent="0.2">
      <c r="A180" s="64">
        <f ca="1">IFERROR(__xludf.DUMMYFUNCTION("""COMPUTED_VALUE"""),179)</f>
        <v>179</v>
      </c>
      <c r="B180" s="64" t="str">
        <f ca="1">IFERROR(__xludf.DUMMYFUNCTION("""COMPUTED_VALUE"""),"Guard-shroom")</f>
        <v>Guard-shroom</v>
      </c>
      <c r="C180" s="64" t="str">
        <f ca="1">IFERROR(__xludf.DUMMYFUNCTION("""COMPUTED_VALUE"""),"Guardamelo")</f>
        <v>Guardamelo</v>
      </c>
      <c r="D180" s="64" t="str">
        <f ca="1">IFERROR(__xludf.DUMMYFUNCTION("""COMPUTED_VALUE"""),"Endurecida")</f>
        <v>Endurecida</v>
      </c>
      <c r="E180" s="64" t="str">
        <f ca="1">IFERROR(__xludf.DUMMYFUNCTION("""COMPUTED_VALUE"""),"Planta anfíbia. Invoca mini versões dele em espaços adjacentes. Esses minigumelos podem engolir zumbis e impulsionar outras plantas do tipo 'Cogumelo'.")</f>
        <v>Planta anfíbia. Invoca mini versões dele em espaços adjacentes. Esses minigumelos podem engolir zumbis e impulsionar outras plantas do tipo 'Cogumelo'.</v>
      </c>
      <c r="F180" s="64">
        <f ca="1">IFERROR(__xludf.DUMMYFUNCTION("""COMPUTED_VALUE"""),200)</f>
        <v>200</v>
      </c>
      <c r="G180" s="64">
        <f ca="1">IFERROR(__xludf.DUMMYFUNCTION("""COMPUTED_VALUE"""),1100)</f>
        <v>1100</v>
      </c>
      <c r="H180" s="64">
        <f ca="1">IFERROR(__xludf.DUMMYFUNCTION("""COMPUTED_VALUE"""),750)</f>
        <v>750</v>
      </c>
      <c r="I180" s="64">
        <f ca="1">IFERROR(__xludf.DUMMYFUNCTION("""COMPUTED_VALUE"""),30)</f>
        <v>30</v>
      </c>
      <c r="J180" s="64" t="str">
        <f ca="1">IFERROR(__xludf.DUMMYFUNCTION("""COMPUTED_VALUE"""),"Main Body - Drags several zombies and pummels them. Mini - Retriggers the Plant Food ability of the host plant.")</f>
        <v>Main Body - Drags several zombies and pummels them. Mini - Retriggers the Plant Food ability of the host plant.</v>
      </c>
      <c r="K180" s="64" t="str">
        <f ca="1">IFERROR(__xludf.DUMMYFUNCTION("""COMPUTED_VALUE"""),"Guard-shroom's Minis will grant a significant boost to all shroom type plants and give an extra boost to Sea-shroom, Puff-shroom, Scaredy-shroom and Nightcap.")</f>
        <v>Guard-shroom's Minis will grant a significant boost to all shroom type plants and give an extra boost to Sea-shroom, Puff-shroom, Scaredy-shroom and Nightcap.</v>
      </c>
      <c r="L180" s="64"/>
      <c r="M180" s="64" t="b">
        <f ca="1">IFERROR(__xludf.DUMMYFUNCTION("""COMPUTED_VALUE"""),FALSE)</f>
        <v>0</v>
      </c>
      <c r="N180" s="64" t="b">
        <f ca="1">IFERROR(__xludf.DUMMYFUNCTION("""COMPUTED_VALUE"""),FALSE)</f>
        <v>0</v>
      </c>
      <c r="O180" s="64">
        <f ca="1">IFERROR(__xludf.DUMMYFUNCTION("""COMPUTED_VALUE"""),0)</f>
        <v>0</v>
      </c>
      <c r="P180" s="64" t="str">
        <f ca="1">IFERROR(__xludf.DUMMYFUNCTION("""COMPUTED_VALUE"""),"Epic")</f>
        <v>Epic</v>
      </c>
      <c r="Q180" s="64" t="str">
        <f ca="1">IFERROR(__xludf.DUMMYFUNCTION("""COMPUTED_VALUE"""),"summon")</f>
        <v>summon</v>
      </c>
      <c r="R180" s="64" t="str">
        <f ca="1">IFERROR(__xludf.DUMMYFUNCTION("""COMPUTED_VALUE"""),"Murshroom")</f>
        <v>Murshroom</v>
      </c>
      <c r="S180" s="64" t="str">
        <f ca="1">IFERROR(__xludf.DUMMYFUNCTION("""COMPUTED_VALUE"""),"Sementium")</f>
        <v>Sementium</v>
      </c>
      <c r="T180" s="64" t="str">
        <f ca="1">IFERROR(__xludf.DUMMYFUNCTION("""COMPUTED_VALUE"""),"None")</f>
        <v>None</v>
      </c>
      <c r="U180" s="64" t="str">
        <f ca="1">IFERROR(__xludf.DUMMYFUNCTION("""COMPUTED_VALUE"""),"None")</f>
        <v>None</v>
      </c>
      <c r="V180" s="64" t="str">
        <f ca="1">IFERROR(__xludf.DUMMYFUNCTION("""COMPUTED_VALUE"""),"guardshroom")</f>
        <v>guardshroom</v>
      </c>
      <c r="W180" s="64" t="str">
        <f ca="1">IFERROR(__xludf.DUMMYFUNCTION("""COMPUTED_VALUE"""),"Tough")</f>
        <v>Tough</v>
      </c>
      <c r="X180" s="64" t="str">
        <f ca="1">IFERROR(__xludf.DUMMYFUNCTION("""COMPUTED_VALUE"""),"PvZ 2")</f>
        <v>PvZ 2</v>
      </c>
      <c r="Y180" s="65" t="str">
        <f ca="1">IFERROR(__xludf.DUMMYFUNCTION("""COMPUTED_VALUE"""),"https://static.wikia.nocookie.net/plantsvszombies/images/5/55/Guard-shroom2.png/revision/latest?cb=20240227153646")</f>
        <v>https://static.wikia.nocookie.net/plantsvszombies/images/5/55/Guard-shroom2.png/revision/latest?cb=20240227153646</v>
      </c>
    </row>
    <row r="181" spans="1:25" x14ac:dyDescent="0.2">
      <c r="A181" s="64">
        <f ca="1">IFERROR(__xludf.DUMMYFUNCTION("""COMPUTED_VALUE"""),180)</f>
        <v>180</v>
      </c>
      <c r="B181" s="64" t="str">
        <f ca="1">IFERROR(__xludf.DUMMYFUNCTION("""COMPUTED_VALUE"""),"Aqua Vine")</f>
        <v>Aqua Vine</v>
      </c>
      <c r="C181" s="64" t="str">
        <f ca="1">IFERROR(__xludf.DUMMYFUNCTION("""COMPUTED_VALUE"""),"Trepadeira Áquatica")</f>
        <v>Trepadeira Áquatica</v>
      </c>
      <c r="D181" s="64" t="str">
        <f ca="1">IFERROR(__xludf.DUMMYFUNCTION("""COMPUTED_VALUE"""),"Perfura")</f>
        <v>Perfura</v>
      </c>
      <c r="E181" s="64" t="str">
        <f ca="1">IFERROR(__xludf.DUMMYFUNCTION("""COMPUTED_VALUE"""),"Planta anfíbia. Pode ser plantada com outra planta para fornece-la mais defesa, incluindo plantas aquáticas. Pode lançar um disparo concentrado ou um disparo perfurante, dependendo da planta que está agrupada.")</f>
        <v>Planta anfíbia. Pode ser plantada com outra planta para fornece-la mais defesa, incluindo plantas aquáticas. Pode lançar um disparo concentrado ou um disparo perfurante, dependendo da planta que está agrupada.</v>
      </c>
      <c r="F181" s="64">
        <f ca="1">IFERROR(__xludf.DUMMYFUNCTION("""COMPUTED_VALUE"""),125)</f>
        <v>125</v>
      </c>
      <c r="G181" s="64">
        <f ca="1">IFERROR(__xludf.DUMMYFUNCTION("""COMPUTED_VALUE"""),400)</f>
        <v>400</v>
      </c>
      <c r="H181" s="64">
        <f ca="1">IFERROR(__xludf.DUMMYFUNCTION("""COMPUTED_VALUE"""),100)</f>
        <v>100</v>
      </c>
      <c r="I181" s="64">
        <f ca="1">IFERROR(__xludf.DUMMYFUNCTION("""COMPUTED_VALUE"""),10)</f>
        <v>10</v>
      </c>
      <c r="J181" s="64" t="str">
        <f ca="1">IFERROR(__xludf.DUMMYFUNCTION("""COMPUTED_VALUE"""),"Attracts zombies and then blasts them away with a jet of water.")</f>
        <v>Attracts zombies and then blasts them away with a jet of water.</v>
      </c>
      <c r="K181" s="64" t="str">
        <f ca="1">IFERROR(__xludf.DUMMYFUNCTION("""COMPUTED_VALUE"""),"Aqua Vine can support ground type plants in water and water type plants on ground. Use this versatility to optimize your plant placement.")</f>
        <v>Aqua Vine can support ground type plants in water and water type plants on ground. Use this versatility to optimize your plant placement.</v>
      </c>
      <c r="L181" s="64"/>
      <c r="M181" s="64" t="b">
        <f ca="1">IFERROR(__xludf.DUMMYFUNCTION("""COMPUTED_VALUE"""),FALSE)</f>
        <v>0</v>
      </c>
      <c r="N181" s="64" t="b">
        <f ca="1">IFERROR(__xludf.DUMMYFUNCTION("""COMPUTED_VALUE"""),FALSE)</f>
        <v>0</v>
      </c>
      <c r="O181" s="64">
        <f ca="1">IFERROR(__xludf.DUMMYFUNCTION("""COMPUTED_VALUE"""),0)</f>
        <v>0</v>
      </c>
      <c r="P181" s="64" t="str">
        <f ca="1">IFERROR(__xludf.DUMMYFUNCTION("""COMPUTED_VALUE"""),"Epic")</f>
        <v>Epic</v>
      </c>
      <c r="Q181" s="64" t="str">
        <f ca="1">IFERROR(__xludf.DUMMYFUNCTION("""COMPUTED_VALUE"""),"aquatic, vine")</f>
        <v>aquatic, vine</v>
      </c>
      <c r="R181" s="64" t="str">
        <f ca="1">IFERROR(__xludf.DUMMYFUNCTION("""COMPUTED_VALUE"""),"Leaf")</f>
        <v>Leaf</v>
      </c>
      <c r="S181" s="64" t="str">
        <f ca="1">IFERROR(__xludf.DUMMYFUNCTION("""COMPUTED_VALUE"""),"Sementium")</f>
        <v>Sementium</v>
      </c>
      <c r="T181" s="64" t="str">
        <f ca="1">IFERROR(__xludf.DUMMYFUNCTION("""COMPUTED_VALUE"""),"None")</f>
        <v>None</v>
      </c>
      <c r="U181" s="64" t="str">
        <f ca="1">IFERROR(__xludf.DUMMYFUNCTION("""COMPUTED_VALUE"""),"50")</f>
        <v>50</v>
      </c>
      <c r="V181" s="64" t="str">
        <f ca="1">IFERROR(__xludf.DUMMYFUNCTION("""COMPUTED_VALUE"""),"aquavine")</f>
        <v>aquavine</v>
      </c>
      <c r="W181" s="64" t="str">
        <f ca="1">IFERROR(__xludf.DUMMYFUNCTION("""COMPUTED_VALUE"""),"Ranged")</f>
        <v>Ranged</v>
      </c>
      <c r="X181" s="64" t="str">
        <f ca="1">IFERROR(__xludf.DUMMYFUNCTION("""COMPUTED_VALUE"""),"PvZ 2, PvZ 2 Chinease")</f>
        <v>PvZ 2, PvZ 2 Chinease</v>
      </c>
      <c r="Y181" s="65" t="str">
        <f ca="1">IFERROR(__xludf.DUMMYFUNCTION("""COMPUTED_VALUE"""),"https://static.wikia.nocookie.net/plantsvszombies/images/4/47/Aqua_Vine2.png/revision/latest?cb=20240316065724")</f>
        <v>https://static.wikia.nocookie.net/plantsvszombies/images/4/47/Aqua_Vine2.png/revision/latest?cb=20240316065724</v>
      </c>
    </row>
    <row r="182" spans="1:25" x14ac:dyDescent="0.2">
      <c r="A182" s="64">
        <f ca="1">IFERROR(__xludf.DUMMYFUNCTION("""COMPUTED_VALUE"""),181)</f>
        <v>181</v>
      </c>
      <c r="B182" s="64" t="str">
        <f ca="1">IFERROR(__xludf.DUMMYFUNCTION("""COMPUTED_VALUE"""),"Mangofier")</f>
        <v>Mangofier</v>
      </c>
      <c r="C182" s="64" t="str">
        <f ca="1">IFERROR(__xludf.DUMMYFUNCTION("""COMPUTED_VALUE"""),"Mangalupa")</f>
        <v>Mangalupa</v>
      </c>
      <c r="D182" s="64" t="str">
        <f ca="1">IFERROR(__xludf.DUMMYFUNCTION("""COMPUTED_VALUE"""),"Arma")</f>
        <v>Arma</v>
      </c>
      <c r="E182" s="64" t="str">
        <f ca="1">IFERROR(__xludf.DUMMYFUNCTION("""COMPUTED_VALUE"""),"Planta que ataca em parábola, podendo alternar entre os modos focado, acertando um golpe explosivo no zumbi na fileira, e multidão acertando o primeiro zumbi de cada fileira.")</f>
        <v>Planta que ataca em parábola, podendo alternar entre os modos focado, acertando um golpe explosivo no zumbi na fileira, e multidão acertando o primeiro zumbi de cada fileira.</v>
      </c>
      <c r="F182" s="64">
        <f ca="1">IFERROR(__xludf.DUMMYFUNCTION("""COMPUTED_VALUE"""),150)</f>
        <v>150</v>
      </c>
      <c r="G182" s="64">
        <f ca="1">IFERROR(__xludf.DUMMYFUNCTION("""COMPUTED_VALUE"""),300)</f>
        <v>300</v>
      </c>
      <c r="H182" s="64">
        <f ca="1">IFERROR(__xludf.DUMMYFUNCTION("""COMPUTED_VALUE"""),275)</f>
        <v>275</v>
      </c>
      <c r="I182" s="64">
        <f ca="1">IFERROR(__xludf.DUMMYFUNCTION("""COMPUTED_VALUE"""),8)</f>
        <v>8</v>
      </c>
      <c r="J182" s="64" t="str">
        <f ca="1">IFERROR(__xludf.DUMMYFUNCTION("""COMPUTED_VALUE"""),"Focuses ambient energy to continuously blast zombies on the lawn.")</f>
        <v>Focuses ambient energy to continuously blast zombies on the lawn.</v>
      </c>
      <c r="K182" s="64" t="str">
        <f ca="1">IFERROR(__xludf.DUMMYFUNCTION("""COMPUTED_VALUE"""),"Mangofier's long range attack can switch between focus damage, taking out high value targets or spread damage to take out multiple smaller threats.")</f>
        <v>Mangofier's long range attack can switch between focus damage, taking out high value targets or spread damage to take out multiple smaller threats.</v>
      </c>
      <c r="L182" s="64"/>
      <c r="M182" s="64" t="b">
        <f ca="1">IFERROR(__xludf.DUMMYFUNCTION("""COMPUTED_VALUE"""),FALSE)</f>
        <v>0</v>
      </c>
      <c r="N182" s="64" t="b">
        <f ca="1">IFERROR(__xludf.DUMMYFUNCTION("""COMPUTED_VALUE"""),FALSE)</f>
        <v>0</v>
      </c>
      <c r="O182" s="64">
        <f ca="1">IFERROR(__xludf.DUMMYFUNCTION("""COMPUTED_VALUE"""),0)</f>
        <v>0</v>
      </c>
      <c r="P182" s="64" t="str">
        <f ca="1">IFERROR(__xludf.DUMMYFUNCTION("""COMPUTED_VALUE"""),"Rare")</f>
        <v>Rare</v>
      </c>
      <c r="Q182" s="64" t="str">
        <f ca="1">IFERROR(__xludf.DUMMYFUNCTION("""COMPUTED_VALUE"""),"area-effect")</f>
        <v>area-effect</v>
      </c>
      <c r="R182" s="64" t="str">
        <f ca="1">IFERROR(__xludf.DUMMYFUNCTION("""COMPUTED_VALUE"""),"Fruit")</f>
        <v>Fruit</v>
      </c>
      <c r="S182" s="64" t="str">
        <f ca="1">IFERROR(__xludf.DUMMYFUNCTION("""COMPUTED_VALUE"""),"Sementium")</f>
        <v>Sementium</v>
      </c>
      <c r="T182" s="64" t="str">
        <f ca="1">IFERROR(__xludf.DUMMYFUNCTION("""COMPUTED_VALUE"""),"None")</f>
        <v>None</v>
      </c>
      <c r="U182" s="64" t="str">
        <f ca="1">IFERROR(__xludf.DUMMYFUNCTION("""COMPUTED_VALUE"""),"65")</f>
        <v>65</v>
      </c>
      <c r="V182" s="64" t="str">
        <f ca="1">IFERROR(__xludf.DUMMYFUNCTION("""COMPUTED_VALUE"""),"mangofier")</f>
        <v>mangofier</v>
      </c>
      <c r="W182" s="64" t="str">
        <f ca="1">IFERROR(__xludf.DUMMYFUNCTION("""COMPUTED_VALUE"""),"Ranged")</f>
        <v>Ranged</v>
      </c>
      <c r="X182" s="64" t="str">
        <f ca="1">IFERROR(__xludf.DUMMYFUNCTION("""COMPUTED_VALUE"""),"PvZ 2")</f>
        <v>PvZ 2</v>
      </c>
      <c r="Y182" s="65" t="str">
        <f ca="1">IFERROR(__xludf.DUMMYFUNCTION("""COMPUTED_VALUE"""),"https://static.wikia.nocookie.net/plantsvszombies/images/d/de/Mangofier2.png/revision/latest?cb=20240316153318")</f>
        <v>https://static.wikia.nocookie.net/plantsvszombies/images/d/de/Mangofier2.png/revision/latest?cb=20240316153318</v>
      </c>
    </row>
    <row r="183" spans="1:25" x14ac:dyDescent="0.2">
      <c r="A183" s="64">
        <f ca="1">IFERROR(__xludf.DUMMYFUNCTION("""COMPUTED_VALUE"""),182)</f>
        <v>182</v>
      </c>
      <c r="B183" s="64" t="str">
        <f ca="1">IFERROR(__xludf.DUMMYFUNCTION("""COMPUTED_VALUE"""),"Blast Spinner")</f>
        <v>Blast Spinner</v>
      </c>
      <c r="C183" s="64" t="str">
        <f ca="1">IFERROR(__xludf.DUMMYFUNCTION("""COMPUTED_VALUE"""),"Estoura-Teia")</f>
        <v>Estoura-Teia</v>
      </c>
      <c r="D183" s="64" t="str">
        <f ca="1">IFERROR(__xludf.DUMMYFUNCTION("""COMPUTED_VALUE"""),"Refrea")</f>
        <v>Refrea</v>
      </c>
      <c r="E183" s="64" t="str">
        <f ca="1">IFERROR(__xludf.DUMMYFUNCTION("""COMPUTED_VALUE"""),"Planta que ataca em parábola, podendo atirar teias também nas colunas adjacentes. A teia imobiliza os zumbis, e pode transforma-los em casulos que explodem e causam dano em área.")</f>
        <v>Planta que ataca em parábola, podendo atirar teias também nas colunas adjacentes. A teia imobiliza os zumbis, e pode transforma-los em casulos que explodem e causam dano em área.</v>
      </c>
      <c r="F183" s="64">
        <f ca="1">IFERROR(__xludf.DUMMYFUNCTION("""COMPUTED_VALUE"""),150)</f>
        <v>150</v>
      </c>
      <c r="G183" s="64">
        <f ca="1">IFERROR(__xludf.DUMMYFUNCTION("""COMPUTED_VALUE"""),300)</f>
        <v>300</v>
      </c>
      <c r="H183" s="64">
        <f ca="1">IFERROR(__xludf.DUMMYFUNCTION("""COMPUTED_VALUE"""),50)</f>
        <v>50</v>
      </c>
      <c r="I183" s="64">
        <f ca="1">IFERROR(__xludf.DUMMYFUNCTION("""COMPUTED_VALUE"""),20)</f>
        <v>20</v>
      </c>
      <c r="J183" s="64" t="str">
        <f ca="1">IFERROR(__xludf.DUMMYFUNCTION("""COMPUTED_VALUE"""),"Launches multiple web cocoons at nearby zombies, turning them into explosive cocoons.")</f>
        <v>Launches multiple web cocoons at nearby zombies, turning them into explosive cocoons.</v>
      </c>
      <c r="K183" s="64" t="str">
        <f ca="1">IFERROR(__xludf.DUMMYFUNCTION("""COMPUTED_VALUE"""),"It takes a few seconds for Blast Spinner’s cocoons to explode, clump zombies up to maximize the damage potential.")</f>
        <v>It takes a few seconds for Blast Spinner’s cocoons to explode, clump zombies up to maximize the damage potential.</v>
      </c>
      <c r="L183" s="64"/>
      <c r="M183" s="64" t="b">
        <f ca="1">IFERROR(__xludf.DUMMYFUNCTION("""COMPUTED_VALUE"""),FALSE)</f>
        <v>0</v>
      </c>
      <c r="N183" s="64" t="b">
        <f ca="1">IFERROR(__xludf.DUMMYFUNCTION("""COMPUTED_VALUE"""),FALSE)</f>
        <v>0</v>
      </c>
      <c r="O183" s="64">
        <f ca="1">IFERROR(__xludf.DUMMYFUNCTION("""COMPUTED_VALUE"""),0)</f>
        <v>0</v>
      </c>
      <c r="P183" s="64" t="str">
        <f ca="1">IFERROR(__xludf.DUMMYFUNCTION("""COMPUTED_VALUE"""),"Epic")</f>
        <v>Epic</v>
      </c>
      <c r="Q183" s="64" t="str">
        <f ca="1">IFERROR(__xludf.DUMMYFUNCTION("""COMPUTED_VALUE"""),"area-effect")</f>
        <v>area-effect</v>
      </c>
      <c r="R183" s="64" t="str">
        <f ca="1">IFERROR(__xludf.DUMMYFUNCTION("""COMPUTED_VALUE"""),"Leaf")</f>
        <v>Leaf</v>
      </c>
      <c r="S183" s="64" t="str">
        <f ca="1">IFERROR(__xludf.DUMMYFUNCTION("""COMPUTED_VALUE"""),"Sementium")</f>
        <v>Sementium</v>
      </c>
      <c r="T183" s="64" t="str">
        <f ca="1">IFERROR(__xludf.DUMMYFUNCTION("""COMPUTED_VALUE"""),"None")</f>
        <v>None</v>
      </c>
      <c r="U183" s="64" t="str">
        <f ca="1">IFERROR(__xludf.DUMMYFUNCTION("""COMPUTED_VALUE"""),"None")</f>
        <v>None</v>
      </c>
      <c r="V183" s="64" t="str">
        <f ca="1">IFERROR(__xludf.DUMMYFUNCTION("""COMPUTED_VALUE"""),"blastspinner")</f>
        <v>blastspinner</v>
      </c>
      <c r="W183" s="64" t="str">
        <f ca="1">IFERROR(__xludf.DUMMYFUNCTION("""COMPUTED_VALUE"""),"Ranged")</f>
        <v>Ranged</v>
      </c>
      <c r="X183" s="64" t="str">
        <f ca="1">IFERROR(__xludf.DUMMYFUNCTION("""COMPUTED_VALUE"""),"PvZ 2")</f>
        <v>PvZ 2</v>
      </c>
      <c r="Y183" s="65" t="str">
        <f ca="1">IFERROR(__xludf.DUMMYFUNCTION("""COMPUTED_VALUE"""),"https://static.wikia.nocookie.net/plantsvszombies/images/2/21/Blast_Spinner2.png/revision/latest?cb=20240825171337")</f>
        <v>https://static.wikia.nocookie.net/plantsvszombies/images/2/21/Blast_Spinner2.png/revision/latest?cb=20240825171337</v>
      </c>
    </row>
    <row r="184" spans="1:25" x14ac:dyDescent="0.2">
      <c r="A184" s="64">
        <f ca="1">IFERROR(__xludf.DUMMYFUNCTION("""COMPUTED_VALUE"""),183)</f>
        <v>183</v>
      </c>
      <c r="B184" s="64" t="str">
        <f ca="1">IFERROR(__xludf.DUMMYFUNCTION("""COMPUTED_VALUE"""),"Doom-shroom")</f>
        <v>Doom-shroom</v>
      </c>
      <c r="C184" s="64" t="str">
        <f ca="1">IFERROR(__xludf.DUMMYFUNCTION("""COMPUTED_VALUE"""),"Ruinagumelo")</f>
        <v>Ruinagumelo</v>
      </c>
      <c r="D184" s="64" t="str">
        <f ca="1">IFERROR(__xludf.DUMMYFUNCTION("""COMPUTED_VALUE"""),"Bombarda")</f>
        <v>Bombarda</v>
      </c>
      <c r="E184" s="64" t="str">
        <f ca="1">IFERROR(__xludf.DUMMYFUNCTION("""COMPUTED_VALUE"""),"Cogumelo que cresce com o tempo, aumentando seu dano e sua área de explosão. Ao chegar no nível 3 de crescimento, ao explodir, gera uma cópia de nível 1 no local da explosão.")</f>
        <v>Cogumelo que cresce com o tempo, aumentando seu dano e sua área de explosão. Ao chegar no nível 3 de crescimento, ao explodir, gera uma cópia de nível 1 no local da explosão.</v>
      </c>
      <c r="F184" s="64">
        <f ca="1">IFERROR(__xludf.DUMMYFUNCTION("""COMPUTED_VALUE"""),175)</f>
        <v>175</v>
      </c>
      <c r="G184" s="64">
        <f ca="1">IFERROR(__xludf.DUMMYFUNCTION("""COMPUTED_VALUE"""),300)</f>
        <v>300</v>
      </c>
      <c r="H184" s="64">
        <f ca="1">IFERROR(__xludf.DUMMYFUNCTION("""COMPUTED_VALUE"""),1100)</f>
        <v>1100</v>
      </c>
      <c r="I184" s="64">
        <f ca="1">IFERROR(__xludf.DUMMYFUNCTION("""COMPUTED_VALUE"""),15)</f>
        <v>15</v>
      </c>
      <c r="J184" s="64" t="str">
        <f ca="1">IFERROR(__xludf.DUMMYFUNCTION("""COMPUTED_VALUE"""),"All Doom-shrooms on the lawn will grow a stage, and then explode and spawn additional Doom-shrooms.")</f>
        <v>All Doom-shrooms on the lawn will grow a stage, and then explode and spawn additional Doom-shrooms.</v>
      </c>
      <c r="K184" s="64" t="str">
        <f ca="1">IFERROR(__xludf.DUMMYFUNCTION("""COMPUTED_VALUE"""),"Doom-shrooms will leave a crater when they explode, temporarily preventing planting of new plants. Be cautious to not over trigger too many Plant foods.")</f>
        <v>Doom-shrooms will leave a crater when they explode, temporarily preventing planting of new plants. Be cautious to not over trigger too many Plant foods.</v>
      </c>
      <c r="L184" s="64"/>
      <c r="M184" s="64" t="b">
        <f ca="1">IFERROR(__xludf.DUMMYFUNCTION("""COMPUTED_VALUE"""),TRUE)</f>
        <v>1</v>
      </c>
      <c r="N184" s="64" t="b">
        <f ca="1">IFERROR(__xludf.DUMMYFUNCTION("""COMPUTED_VALUE"""),FALSE)</f>
        <v>0</v>
      </c>
      <c r="O184" s="64">
        <f ca="1">IFERROR(__xludf.DUMMYFUNCTION("""COMPUTED_VALUE"""),0)</f>
        <v>0</v>
      </c>
      <c r="P184" s="64" t="str">
        <f ca="1">IFERROR(__xludf.DUMMYFUNCTION("""COMPUTED_VALUE"""),"Mythical")</f>
        <v>Mythical</v>
      </c>
      <c r="Q184" s="64" t="str">
        <f ca="1">IFERROR(__xludf.DUMMYFUNCTION("""COMPUTED_VALUE"""),"area-effect, explosion")</f>
        <v>area-effect, explosion</v>
      </c>
      <c r="R184" s="64" t="str">
        <f ca="1">IFERROR(__xludf.DUMMYFUNCTION("""COMPUTED_VALUE"""),"Murshroom")</f>
        <v>Murshroom</v>
      </c>
      <c r="S184" s="64" t="str">
        <f ca="1">IFERROR(__xludf.DUMMYFUNCTION("""COMPUTED_VALUE"""),"Sementium")</f>
        <v>Sementium</v>
      </c>
      <c r="T184" s="64" t="str">
        <f ca="1">IFERROR(__xludf.DUMMYFUNCTION("""COMPUTED_VALUE"""),"None")</f>
        <v>None</v>
      </c>
      <c r="U184" s="64" t="str">
        <f ca="1">IFERROR(__xludf.DUMMYFUNCTION("""COMPUTED_VALUE"""),"2200")</f>
        <v>2200</v>
      </c>
      <c r="V184" s="64" t="str">
        <f ca="1">IFERROR(__xludf.DUMMYFUNCTION("""COMPUTED_VALUE"""),"doomshroom")</f>
        <v>doomshroom</v>
      </c>
      <c r="W184" s="64" t="str">
        <f ca="1">IFERROR(__xludf.DUMMYFUNCTION("""COMPUTED_VALUE"""),"Special")</f>
        <v>Special</v>
      </c>
      <c r="X184" s="64" t="str">
        <f ca="1">IFERROR(__xludf.DUMMYFUNCTION("""COMPUTED_VALUE"""),"PvZ, PvZ 2, PvZ Heroes, PvZ GW, PvZ GW 2, PvZ BfN")</f>
        <v>PvZ, PvZ 2, PvZ Heroes, PvZ GW, PvZ GW 2, PvZ BfN</v>
      </c>
      <c r="Y184" s="65" t="str">
        <f ca="1">IFERROR(__xludf.DUMMYFUNCTION("""COMPUTED_VALUE"""),"https://static.wikia.nocookie.net/plantsvszombies/images/9/92/Doom-shroom2.png/revision/latest?cb=20241103020717")</f>
        <v>https://static.wikia.nocookie.net/plantsvszombies/images/9/92/Doom-shroom2.png/revision/latest?cb=20241103020717</v>
      </c>
    </row>
    <row r="185" spans="1:25" x14ac:dyDescent="0.2">
      <c r="A185" s="64">
        <f ca="1">IFERROR(__xludf.DUMMYFUNCTION("""COMPUTED_VALUE"""),184)</f>
        <v>184</v>
      </c>
      <c r="B185" s="64" t="str">
        <f ca="1">IFERROR(__xludf.DUMMYFUNCTION("""COMPUTED_VALUE"""),"Blazeleaf")</f>
        <v>Blazeleaf</v>
      </c>
      <c r="C185" s="64" t="str">
        <f ca="1">IFERROR(__xludf.DUMMYFUNCTION("""COMPUTED_VALUE"""),"Pirofolha")</f>
        <v>Pirofolha</v>
      </c>
      <c r="D185" s="64" t="str">
        <f ca="1">IFERROR(__xludf.DUMMYFUNCTION("""COMPUTED_VALUE"""),"Aquecida")</f>
        <v>Aquecida</v>
      </c>
      <c r="E185" s="64" t="str">
        <f ca="1">IFERROR(__xludf.DUMMYFUNCTION("""COMPUTED_VALUE"""),"Uma planta que golpeia inimigos próximos com fogo, realizando um combo de três ataques, que gera uma onda de fogo.")</f>
        <v>Uma planta que golpeia inimigos próximos com fogo, realizando um combo de três ataques, que gera uma onda de fogo.</v>
      </c>
      <c r="F185" s="64">
        <f ca="1">IFERROR(__xludf.DUMMYFUNCTION("""COMPUTED_VALUE"""),175)</f>
        <v>175</v>
      </c>
      <c r="G185" s="64">
        <f ca="1">IFERROR(__xludf.DUMMYFUNCTION("""COMPUTED_VALUE"""),300)</f>
        <v>300</v>
      </c>
      <c r="H185" s="64">
        <f ca="1">IFERROR(__xludf.DUMMYFUNCTION("""COMPUTED_VALUE"""),30)</f>
        <v>30</v>
      </c>
      <c r="I185" s="64">
        <f ca="1">IFERROR(__xludf.DUMMYFUNCTION("""COMPUTED_VALUE"""),12)</f>
        <v>12</v>
      </c>
      <c r="J185" s="64" t="str">
        <f ca="1">IFERROR(__xludf.DUMMYFUNCTION("""COMPUTED_VALUE"""),"Launches a swirling fiery wave of energy damaging all the zombies on the lawn.")</f>
        <v>Launches a swirling fiery wave of energy damaging all the zombies on the lawn.</v>
      </c>
      <c r="K185" s="64" t="str">
        <f ca="1">IFERROR(__xludf.DUMMYFUNCTION("""COMPUTED_VALUE"""),"Blaze Leaf can target zombies in the front and back as well so position it wisely.")</f>
        <v>Blaze Leaf can target zombies in the front and back as well so position it wisely.</v>
      </c>
      <c r="L185" s="64"/>
      <c r="M185" s="64" t="b">
        <f ca="1">IFERROR(__xludf.DUMMYFUNCTION("""COMPUTED_VALUE"""),FALSE)</f>
        <v>0</v>
      </c>
      <c r="N185" s="64" t="b">
        <f ca="1">IFERROR(__xludf.DUMMYFUNCTION("""COMPUTED_VALUE"""),FALSE)</f>
        <v>0</v>
      </c>
      <c r="O185" s="64">
        <f ca="1">IFERROR(__xludf.DUMMYFUNCTION("""COMPUTED_VALUE"""),0)</f>
        <v>0</v>
      </c>
      <c r="P185" s="64" t="str">
        <f ca="1">IFERROR(__xludf.DUMMYFUNCTION("""COMPUTED_VALUE"""),"Epic")</f>
        <v>Epic</v>
      </c>
      <c r="Q185" s="64" t="str">
        <f ca="1">IFERROR(__xludf.DUMMYFUNCTION("""COMPUTED_VALUE"""),"area-effect, attack_backwards")</f>
        <v>area-effect, attack_backwards</v>
      </c>
      <c r="R185" s="64" t="str">
        <f ca="1">IFERROR(__xludf.DUMMYFUNCTION("""COMPUTED_VALUE"""),"Leaf")</f>
        <v>Leaf</v>
      </c>
      <c r="S185" s="64" t="str">
        <f ca="1">IFERROR(__xludf.DUMMYFUNCTION("""COMPUTED_VALUE"""),"Sementium")</f>
        <v>Sementium</v>
      </c>
      <c r="T185" s="64" t="str">
        <f ca="1">IFERROR(__xludf.DUMMYFUNCTION("""COMPUTED_VALUE"""),"None")</f>
        <v>None</v>
      </c>
      <c r="U185" s="64" t="str">
        <f ca="1">IFERROR(__xludf.DUMMYFUNCTION("""COMPUTED_VALUE"""),"50")</f>
        <v>50</v>
      </c>
      <c r="V185" s="64" t="str">
        <f ca="1">IFERROR(__xludf.DUMMYFUNCTION("""COMPUTED_VALUE"""),"blazeleaf")</f>
        <v>blazeleaf</v>
      </c>
      <c r="W185" s="64" t="str">
        <f ca="1">IFERROR(__xludf.DUMMYFUNCTION("""COMPUTED_VALUE"""),"Vanguard")</f>
        <v>Vanguard</v>
      </c>
      <c r="X185" s="64" t="str">
        <f ca="1">IFERROR(__xludf.DUMMYFUNCTION("""COMPUTED_VALUE"""),"PvZ 2")</f>
        <v>PvZ 2</v>
      </c>
      <c r="Y185" s="65" t="str">
        <f ca="1">IFERROR(__xludf.DUMMYFUNCTION("""COMPUTED_VALUE"""),"https://static.wikia.nocookie.net/plantsvszombies/images/7/79/Blaze_Leaf2.png/revision/latest?cb=20241024015246")</f>
        <v>https://static.wikia.nocookie.net/plantsvszombies/images/7/79/Blaze_Leaf2.png/revision/latest?cb=20241024015246</v>
      </c>
    </row>
    <row r="186" spans="1:25" x14ac:dyDescent="0.2">
      <c r="A186" s="64">
        <f ca="1">IFERROR(__xludf.DUMMYFUNCTION("""COMPUTED_VALUE"""),185)</f>
        <v>185</v>
      </c>
      <c r="B186" s="64" t="str">
        <f ca="1">IFERROR(__xludf.DUMMYFUNCTION("""COMPUTED_VALUE"""),"Frost Bonnet")</f>
        <v>Frost Bonnet</v>
      </c>
      <c r="C186" s="64" t="str">
        <f ca="1">IFERROR(__xludf.DUMMYFUNCTION("""COMPUTED_VALUE"""),"Gorro Gelado")</f>
        <v>Gorro Gelado</v>
      </c>
      <c r="D186" s="64" t="str">
        <f ca="1">IFERROR(__xludf.DUMMYFUNCTION("""COMPUTED_VALUE"""),"Resfriada")</f>
        <v>Resfriada</v>
      </c>
      <c r="E186" s="64" t="str">
        <f ca="1">IFERROR(__xludf.DUMMYFUNCTION("""COMPUTED_VALUE"""),"Uma flor que pode alternar entre os modos de congelamento, e incineração, que causam mais dano a alvos congelados.")</f>
        <v>Uma flor que pode alternar entre os modos de congelamento, e incineração, que causam mais dano a alvos congelados.</v>
      </c>
      <c r="F186" s="64">
        <f ca="1">IFERROR(__xludf.DUMMYFUNCTION("""COMPUTED_VALUE"""),175)</f>
        <v>175</v>
      </c>
      <c r="G186" s="64">
        <f ca="1">IFERROR(__xludf.DUMMYFUNCTION("""COMPUTED_VALUE"""),300)</f>
        <v>300</v>
      </c>
      <c r="H186" s="64">
        <f ca="1">IFERROR(__xludf.DUMMYFUNCTION("""COMPUTED_VALUE"""),65)</f>
        <v>65</v>
      </c>
      <c r="I186" s="64">
        <f ca="1">IFERROR(__xludf.DUMMYFUNCTION("""COMPUTED_VALUE"""),12)</f>
        <v>12</v>
      </c>
      <c r="J186" s="64" t="str">
        <f ca="1">IFERROR(__xludf.DUMMYFUNCTION("""COMPUTED_VALUE"""),"Launches a combo fire and ice attack at nearby zombies. Zombies destroyed will turn into an ice wall.")</f>
        <v>Launches a combo fire and ice attack at nearby zombies. Zombies destroyed will turn into an ice wall.</v>
      </c>
      <c r="K186" s="64" t="str">
        <f ca="1">IFERROR(__xludf.DUMMYFUNCTION("""COMPUTED_VALUE"""),"Frost Bonnet deals bonus damage to zombies affected by chill. Tap to toggle between the firing modes to maximize its damage.")</f>
        <v>Frost Bonnet deals bonus damage to zombies affected by chill. Tap to toggle between the firing modes to maximize its damage.</v>
      </c>
      <c r="L186" s="64"/>
      <c r="M186" s="64" t="b">
        <f ca="1">IFERROR(__xludf.DUMMYFUNCTION("""COMPUTED_VALUE"""),FALSE)</f>
        <v>0</v>
      </c>
      <c r="N186" s="64" t="b">
        <f ca="1">IFERROR(__xludf.DUMMYFUNCTION("""COMPUTED_VALUE"""),FALSE)</f>
        <v>0</v>
      </c>
      <c r="O186" s="64">
        <f ca="1">IFERROR(__xludf.DUMMYFUNCTION("""COMPUTED_VALUE"""),0)</f>
        <v>0</v>
      </c>
      <c r="P186" s="64" t="str">
        <f ca="1">IFERROR(__xludf.DUMMYFUNCTION("""COMPUTED_VALUE"""),"Rare")</f>
        <v>Rare</v>
      </c>
      <c r="Q186" s="64" t="str">
        <f ca="1">IFERROR(__xludf.DUMMYFUNCTION("""COMPUTED_VALUE"""),"chilling, warm, fire_immunity, freezing_immunity")</f>
        <v>chilling, warm, fire_immunity, freezing_immunity</v>
      </c>
      <c r="R186" s="64" t="str">
        <f ca="1">IFERROR(__xludf.DUMMYFUNCTION("""COMPUTED_VALUE"""),"Flower")</f>
        <v>Flower</v>
      </c>
      <c r="S186" s="64" t="str">
        <f ca="1">IFERROR(__xludf.DUMMYFUNCTION("""COMPUTED_VALUE"""),"Sementium")</f>
        <v>Sementium</v>
      </c>
      <c r="T186" s="64" t="str">
        <f ca="1">IFERROR(__xludf.DUMMYFUNCTION("""COMPUTED_VALUE"""),"None")</f>
        <v>None</v>
      </c>
      <c r="U186" s="64" t="str">
        <f ca="1">IFERROR(__xludf.DUMMYFUNCTION("""COMPUTED_VALUE"""),"55")</f>
        <v>55</v>
      </c>
      <c r="V186" s="64" t="str">
        <f ca="1">IFERROR(__xludf.DUMMYFUNCTION("""COMPUTED_VALUE"""),"frostbonnet")</f>
        <v>frostbonnet</v>
      </c>
      <c r="W186" s="64" t="str">
        <f ca="1">IFERROR(__xludf.DUMMYFUNCTION("""COMPUTED_VALUE"""),"Vanguard")</f>
        <v>Vanguard</v>
      </c>
      <c r="X186" s="64" t="str">
        <f ca="1">IFERROR(__xludf.DUMMYFUNCTION("""COMPUTED_VALUE"""),"PvZ 2")</f>
        <v>PvZ 2</v>
      </c>
      <c r="Y186" s="65" t="str">
        <f ca="1">IFERROR(__xludf.DUMMYFUNCTION("""COMPUTED_VALUE"""),"https://static.wikia.nocookie.net/plantsvszombies/images/8/84/Frost_Bonnet2.png/revision/latest?cb=20241024014551")</f>
        <v>https://static.wikia.nocookie.net/plantsvszombies/images/8/84/Frost_Bonnet2.png/revision/latest?cb=20241024014551</v>
      </c>
    </row>
    <row r="187" spans="1:25" x14ac:dyDescent="0.2">
      <c r="A187" s="64">
        <f ca="1">IFERROR(__xludf.DUMMYFUNCTION("""COMPUTED_VALUE"""),186)</f>
        <v>186</v>
      </c>
      <c r="B187" s="64" t="str">
        <f ca="1">IFERROR(__xludf.DUMMYFUNCTION("""COMPUTED_VALUE"""),"Znake Lilly")</f>
        <v>Znake Lilly</v>
      </c>
      <c r="C187" s="64" t="str">
        <f ca="1">IFERROR(__xludf.DUMMYFUNCTION("""COMPUTED_VALUE"""),"Lirío Zumbóide")</f>
        <v>Lirío Zumbóide</v>
      </c>
      <c r="D187" s="64" t="str">
        <f ca="1">IFERROR(__xludf.DUMMYFUNCTION("""COMPUTED_VALUE"""),"Encanta")</f>
        <v>Encanta</v>
      </c>
      <c r="E187" s="64" t="str">
        <f ca="1">IFERROR(__xludf.DUMMYFUNCTION("""COMPUTED_VALUE"""),"Dispara um tornado mágico no zumbi mais próximo, transformando-o em um zumbóide. Zumbis que não podem ser transformados recebem grande dano.")</f>
        <v>Dispara um tornado mágico no zumbi mais próximo, transformando-o em um zumbóide. Zumbis que não podem ser transformados recebem grande dano.</v>
      </c>
      <c r="F187" s="64">
        <f ca="1">IFERROR(__xludf.DUMMYFUNCTION("""COMPUTED_VALUE"""),200)</f>
        <v>200</v>
      </c>
      <c r="G187" s="64">
        <f ca="1">IFERROR(__xludf.DUMMYFUNCTION("""COMPUTED_VALUE"""),300)</f>
        <v>300</v>
      </c>
      <c r="H187" s="64">
        <f ca="1">IFERROR(__xludf.DUMMYFUNCTION("""COMPUTED_VALUE"""),100)</f>
        <v>100</v>
      </c>
      <c r="I187" s="64">
        <f ca="1">IFERROR(__xludf.DUMMYFUNCTION("""COMPUTED_VALUE"""),45)</f>
        <v>45</v>
      </c>
      <c r="J187" s="64" t="str">
        <f ca="1">IFERROR(__xludf.DUMMYFUNCTION("""COMPUTED_VALUE"""),"Launches multiple tornados to transform zombies into various types of plant ""zomboids"".")</f>
        <v>Launches multiple tornados to transform zombies into various types of plant "zomboids".</v>
      </c>
      <c r="K187" s="64" t="str">
        <f ca="1">IFERROR(__xludf.DUMMYFUNCTION("""COMPUTED_VALUE"""),"Znake Lily can transform zombies into strong plant ""zomboids"" as it levels up.")</f>
        <v>Znake Lily can transform zombies into strong plant "zomboids" as it levels up.</v>
      </c>
      <c r="L187" s="64"/>
      <c r="M187" s="64" t="b">
        <f ca="1">IFERROR(__xludf.DUMMYFUNCTION("""COMPUTED_VALUE"""),FALSE)</f>
        <v>0</v>
      </c>
      <c r="N187" s="64" t="b">
        <f ca="1">IFERROR(__xludf.DUMMYFUNCTION("""COMPUTED_VALUE"""),FALSE)</f>
        <v>0</v>
      </c>
      <c r="O187" s="64">
        <f ca="1">IFERROR(__xludf.DUMMYFUNCTION("""COMPUTED_VALUE"""),0)</f>
        <v>0</v>
      </c>
      <c r="P187" s="64" t="str">
        <f ca="1">IFERROR(__xludf.DUMMYFUNCTION("""COMPUTED_VALUE"""),"Mythical")</f>
        <v>Mythical</v>
      </c>
      <c r="Q187" s="64" t="str">
        <f ca="1">IFERROR(__xludf.DUMMYFUNCTION("""COMPUTED_VALUE"""),"zodiac, zumboid, control")</f>
        <v>zodiac, zumboid, control</v>
      </c>
      <c r="R187" s="64" t="str">
        <f ca="1">IFERROR(__xludf.DUMMYFUNCTION("""COMPUTED_VALUE"""),"Leaf")</f>
        <v>Leaf</v>
      </c>
      <c r="S187" s="64" t="str">
        <f ca="1">IFERROR(__xludf.DUMMYFUNCTION("""COMPUTED_VALUE"""),"Sementium")</f>
        <v>Sementium</v>
      </c>
      <c r="T187" s="64" t="str">
        <f ca="1">IFERROR(__xludf.DUMMYFUNCTION("""COMPUTED_VALUE"""),"None")</f>
        <v>None</v>
      </c>
      <c r="U187" s="64" t="str">
        <f ca="1">IFERROR(__xludf.DUMMYFUNCTION("""COMPUTED_VALUE"""),"None")</f>
        <v>None</v>
      </c>
      <c r="V187" s="64" t="str">
        <f ca="1">IFERROR(__xludf.DUMMYFUNCTION("""COMPUTED_VALUE"""),"znakelily")</f>
        <v>znakelily</v>
      </c>
      <c r="W187" s="64" t="str">
        <f ca="1">IFERROR(__xludf.DUMMYFUNCTION("""COMPUTED_VALUE"""),"Ranged")</f>
        <v>Ranged</v>
      </c>
      <c r="X187" s="64" t="str">
        <f ca="1">IFERROR(__xludf.DUMMYFUNCTION("""COMPUTED_VALUE"""),"PvZ 2")</f>
        <v>PvZ 2</v>
      </c>
      <c r="Y187" s="65" t="str">
        <f ca="1">IFERROR(__xludf.DUMMYFUNCTION("""COMPUTED_VALUE"""),"https://static.wikia.nocookie.net/plantsvszombies/images/f/f0/Znake_Lily2.png/revision/latest?cb=20241011125933")</f>
        <v>https://static.wikia.nocookie.net/plantsvszombies/images/f/f0/Znake_Lily2.png/revision/latest?cb=20241011125933</v>
      </c>
    </row>
    <row r="188" spans="1:25" x14ac:dyDescent="0.2">
      <c r="A188" s="64">
        <f ca="1">IFERROR(__xludf.DUMMYFUNCTION("""COMPUTED_VALUE"""),187)</f>
        <v>187</v>
      </c>
      <c r="B188" s="64" t="str">
        <f ca="1">IFERROR(__xludf.DUMMYFUNCTION("""COMPUTED_VALUE"""),"Sweetheart Snare")</f>
        <v>Sweetheart Snare</v>
      </c>
      <c r="C188" s="64" t="str">
        <f ca="1">IFERROR(__xludf.DUMMYFUNCTION("""COMPUTED_VALUE"""),"Almadilha Gêmea")</f>
        <v>Almadilha Gêmea</v>
      </c>
      <c r="D188" s="64" t="str">
        <f ca="1">IFERROR(__xludf.DUMMYFUNCTION("""COMPUTED_VALUE"""),"Perfura")</f>
        <v>Perfura</v>
      </c>
      <c r="E188" s="64" t="str">
        <f ca="1">IFERROR(__xludf.DUMMYFUNCTION("""COMPUTED_VALUE"""),"Machuca e deixa lento os zumbis que passarem por ela, se houver mais desta planta em uma coluna adjacente, o efeito é ampliado.")</f>
        <v>Machuca e deixa lento os zumbis que passarem por ela, se houver mais desta planta em uma coluna adjacente, o efeito é ampliado.</v>
      </c>
      <c r="F188" s="64">
        <f ca="1">IFERROR(__xludf.DUMMYFUNCTION("""COMPUTED_VALUE"""),175)</f>
        <v>175</v>
      </c>
      <c r="G188" s="64">
        <f ca="1">IFERROR(__xludf.DUMMYFUNCTION("""COMPUTED_VALUE"""),300)</f>
        <v>300</v>
      </c>
      <c r="H188" s="64">
        <f ca="1">IFERROR(__xludf.DUMMYFUNCTION("""COMPUTED_VALUE"""),4)</f>
        <v>4</v>
      </c>
      <c r="I188" s="64">
        <f ca="1">IFERROR(__xludf.DUMMYFUNCTION("""COMPUTED_VALUE"""),15)</f>
        <v>15</v>
      </c>
      <c r="J188" s="64" t="str">
        <f ca="1">IFERROR(__xludf.DUMMYFUNCTION("""COMPUTED_VALUE"""),"Launches multiple thorns both forwards and backward, while also activating other Sweetheart Snares on the lawn.")</f>
        <v>Launches multiple thorns both forwards and backward, while also activating other Sweetheart Snares on the lawn.</v>
      </c>
      <c r="K188" s="64" t="str">
        <f ca="1">IFERROR(__xludf.DUMMYFUNCTION("""COMPUTED_VALUE"""),"Plant Sweetheart Snare and connect her with others, within the same column, to gain damage and slow bonuses.")</f>
        <v>Plant Sweetheart Snare and connect her with others, within the same column, to gain damage and slow bonuses.</v>
      </c>
      <c r="L188" s="64"/>
      <c r="M188" s="64" t="b">
        <f ca="1">IFERROR(__xludf.DUMMYFUNCTION("""COMPUTED_VALUE"""),FALSE)</f>
        <v>0</v>
      </c>
      <c r="N188" s="64" t="b">
        <f ca="1">IFERROR(__xludf.DUMMYFUNCTION("""COMPUTED_VALUE"""),FALSE)</f>
        <v>0</v>
      </c>
      <c r="O188" s="64">
        <f ca="1">IFERROR(__xludf.DUMMYFUNCTION("""COMPUTED_VALUE"""),0)</f>
        <v>0</v>
      </c>
      <c r="P188" s="64" t="str">
        <f ca="1">IFERROR(__xludf.DUMMYFUNCTION("""COMPUTED_VALUE"""),"Epic")</f>
        <v>Epic</v>
      </c>
      <c r="Q188" s="64" t="str">
        <f ca="1">IFERROR(__xludf.DUMMYFUNCTION("""COMPUTED_VALUE"""),"grounded, immortal, spikes, slowing")</f>
        <v>grounded, immortal, spikes, slowing</v>
      </c>
      <c r="R188" s="64" t="str">
        <f ca="1">IFERROR(__xludf.DUMMYFUNCTION("""COMPUTED_VALUE"""),"Flower")</f>
        <v>Flower</v>
      </c>
      <c r="S188" s="64" t="str">
        <f ca="1">IFERROR(__xludf.DUMMYFUNCTION("""COMPUTED_VALUE"""),"Sementium")</f>
        <v>Sementium</v>
      </c>
      <c r="T188" s="64" t="str">
        <f ca="1">IFERROR(__xludf.DUMMYFUNCTION("""COMPUTED_VALUE"""),"None")</f>
        <v>None</v>
      </c>
      <c r="U188" s="64" t="str">
        <f ca="1">IFERROR(__xludf.DUMMYFUNCTION("""COMPUTED_VALUE"""),"6")</f>
        <v>6</v>
      </c>
      <c r="V188" s="64" t="str">
        <f ca="1">IFERROR(__xludf.DUMMYFUNCTION("""COMPUTED_VALUE"""),"sweetheartsnare")</f>
        <v>sweetheartsnare</v>
      </c>
      <c r="W188" s="64" t="str">
        <f ca="1">IFERROR(__xludf.DUMMYFUNCTION("""COMPUTED_VALUE"""),"Special")</f>
        <v>Special</v>
      </c>
      <c r="X188" s="64" t="str">
        <f ca="1">IFERROR(__xludf.DUMMYFUNCTION("""COMPUTED_VALUE"""),"PvZ 2")</f>
        <v>PvZ 2</v>
      </c>
      <c r="Y188" s="65" t="str">
        <f ca="1">IFERROR(__xludf.DUMMYFUNCTION("""COMPUTED_VALUE"""),"https://static.wikia.nocookie.net/plantsvszombies/images/a/a4/Sweetheart_Snare2.png/revision/latest/scale-to-width-down/70?cb=20250121231122")</f>
        <v>https://static.wikia.nocookie.net/plantsvszombies/images/a/a4/Sweetheart_Snare2.png/revision/latest/scale-to-width-down/70?cb=20250121231122</v>
      </c>
    </row>
    <row r="189" spans="1:25" x14ac:dyDescent="0.2">
      <c r="A189" s="64">
        <f ca="1">IFERROR(__xludf.DUMMYFUNCTION("""COMPUTED_VALUE"""),188)</f>
        <v>188</v>
      </c>
      <c r="B189" s="64" t="str">
        <f ca="1">IFERROR(__xludf.DUMMYFUNCTION("""COMPUTED_VALUE"""),"Hammeruit")</f>
        <v>Hammeruit</v>
      </c>
      <c r="C189" s="64" t="str">
        <f ca="1">IFERROR(__xludf.DUMMYFUNCTION("""COMPUTED_VALUE"""),"Marteluit")</f>
        <v>Marteluit</v>
      </c>
      <c r="D189" s="64" t="str">
        <f ca="1">IFERROR(__xludf.DUMMYFUNCTION("""COMPUTED_VALUE"""),"Surra")</f>
        <v>Surra</v>
      </c>
      <c r="E189" s="64" t="str">
        <f ca="1">IFERROR(__xludf.DUMMYFUNCTION("""COMPUTED_VALUE"""),"Golpeia em três colunas diferentes, causando mais dano quanto mais tempo ela está inativa.")</f>
        <v>Golpeia em três colunas diferentes, causando mais dano quanto mais tempo ela está inativa.</v>
      </c>
      <c r="F189" s="64">
        <f ca="1">IFERROR(__xludf.DUMMYFUNCTION("""COMPUTED_VALUE"""),200)</f>
        <v>200</v>
      </c>
      <c r="G189" s="64">
        <f ca="1">IFERROR(__xludf.DUMMYFUNCTION("""COMPUTED_VALUE"""),400)</f>
        <v>400</v>
      </c>
      <c r="H189" s="64">
        <f ca="1">IFERROR(__xludf.DUMMYFUNCTION("""COMPUTED_VALUE"""),150)</f>
        <v>150</v>
      </c>
      <c r="I189" s="64">
        <f ca="1">IFERROR(__xludf.DUMMYFUNCTION("""COMPUTED_VALUE"""),10)</f>
        <v>10</v>
      </c>
      <c r="J189" s="64" t="str">
        <f ca="1">IFERROR(__xludf.DUMMYFUNCTION("""COMPUTED_VALUE"""),"Slams its hammer 3 times in a row, dealing increasing damage with each hit. Releases shockwaves at the last hit that travels in 3 directions.")</f>
        <v>Slams its hammer 3 times in a row, dealing increasing damage with each hit. Releases shockwaves at the last hit that travels in 3 directions.</v>
      </c>
      <c r="K189" s="64" t="str">
        <f ca="1">IFERROR(__xludf.DUMMYFUNCTION("""COMPUTED_VALUE"""),"Hammeruit's attack deals more damage, the more it has to wait to attack.")</f>
        <v>Hammeruit's attack deals more damage, the more it has to wait to attack.</v>
      </c>
      <c r="L189" s="64"/>
      <c r="M189" s="64" t="b">
        <f ca="1">IFERROR(__xludf.DUMMYFUNCTION("""COMPUTED_VALUE"""),FALSE)</f>
        <v>0</v>
      </c>
      <c r="N189" s="64" t="b">
        <f ca="1">IFERROR(__xludf.DUMMYFUNCTION("""COMPUTED_VALUE"""),FALSE)</f>
        <v>0</v>
      </c>
      <c r="O189" s="64">
        <f ca="1">IFERROR(__xludf.DUMMYFUNCTION("""COMPUTED_VALUE"""),0)</f>
        <v>0</v>
      </c>
      <c r="P189" s="64" t="str">
        <f ca="1">IFERROR(__xludf.DUMMYFUNCTION("""COMPUTED_VALUE"""),"Epic")</f>
        <v>Epic</v>
      </c>
      <c r="Q189" s="64" t="str">
        <f ca="1">IFERROR(__xludf.DUMMYFUNCTION("""COMPUTED_VALUE"""),"area-effect")</f>
        <v>area-effect</v>
      </c>
      <c r="R189" s="64" t="str">
        <f ca="1">IFERROR(__xludf.DUMMYFUNCTION("""COMPUTED_VALUE"""),"Flower")</f>
        <v>Flower</v>
      </c>
      <c r="S189" s="64" t="str">
        <f ca="1">IFERROR(__xludf.DUMMYFUNCTION("""COMPUTED_VALUE"""),"Sementium")</f>
        <v>Sementium</v>
      </c>
      <c r="T189" s="64" t="str">
        <f ca="1">IFERROR(__xludf.DUMMYFUNCTION("""COMPUTED_VALUE"""),"None")</f>
        <v>None</v>
      </c>
      <c r="U189" s="64" t="str">
        <f ca="1">IFERROR(__xludf.DUMMYFUNCTION("""COMPUTED_VALUE"""),"300")</f>
        <v>300</v>
      </c>
      <c r="V189" s="64" t="str">
        <f ca="1">IFERROR(__xludf.DUMMYFUNCTION("""COMPUTED_VALUE"""),"hammeruit")</f>
        <v>hammeruit</v>
      </c>
      <c r="W189" s="64" t="str">
        <f ca="1">IFERROR(__xludf.DUMMYFUNCTION("""COMPUTED_VALUE"""),"Vanguard")</f>
        <v>Vanguard</v>
      </c>
      <c r="X189" s="64" t="str">
        <f ca="1">IFERROR(__xludf.DUMMYFUNCTION("""COMPUTED_VALUE"""),"PvZ 2")</f>
        <v>PvZ 2</v>
      </c>
      <c r="Y189" s="65" t="str">
        <f ca="1">IFERROR(__xludf.DUMMYFUNCTION("""COMPUTED_VALUE"""),"https://static.wikia.nocookie.net/plantsvszombies/images/d/d0/Hammeruit2.png/revision/latest/scale-to-width-down/70?cb=20250108203307")</f>
        <v>https://static.wikia.nocookie.net/plantsvszombies/images/d/d0/Hammeruit2.png/revision/latest/scale-to-width-down/70?cb=20250108203307</v>
      </c>
    </row>
    <row r="190" spans="1:25" x14ac:dyDescent="0.2">
      <c r="A190" s="64">
        <f ca="1">IFERROR(__xludf.DUMMYFUNCTION("QUERY(Others!2:16)"),1)</f>
        <v>1</v>
      </c>
      <c r="B190" s="64" t="str">
        <f ca="1">IFERROR(__xludf.DUMMYFUNCTION("""COMPUTED_VALUE"""),"Umbrella Leaf")</f>
        <v>Umbrella Leaf</v>
      </c>
      <c r="C190" s="64" t="str">
        <f ca="1">IFERROR(__xludf.DUMMYFUNCTION("""COMPUTED_VALUE"""),"Folha Guarda-chuva")</f>
        <v>Folha Guarda-chuva</v>
      </c>
      <c r="D190" s="64" t="str">
        <f ca="1">IFERROR(__xludf.DUMMYFUNCTION("""COMPUTED_VALUE"""),"Endurecida")</f>
        <v>Endurecida</v>
      </c>
      <c r="E190" s="64" t="str">
        <f ca="1">IFERROR(__xludf.DUMMYFUNCTION("""COMPUTED_VALUE"""),"Protege de projeteis aereos.")</f>
        <v>Protege de projeteis aereos.</v>
      </c>
      <c r="F190" s="64">
        <f ca="1">IFERROR(__xludf.DUMMYFUNCTION("""COMPUTED_VALUE"""),100)</f>
        <v>100</v>
      </c>
      <c r="G190" s="64">
        <f ca="1">IFERROR(__xludf.DUMMYFUNCTION("""COMPUTED_VALUE"""),300)</f>
        <v>300</v>
      </c>
      <c r="H190" s="64">
        <f ca="1">IFERROR(__xludf.DUMMYFUNCTION("""COMPUTED_VALUE"""),0)</f>
        <v>0</v>
      </c>
      <c r="I190" s="64">
        <f ca="1">IFERROR(__xludf.DUMMYFUNCTION("""COMPUTED_VALUE"""),45784)</f>
        <v>45784</v>
      </c>
      <c r="J190" s="64" t="str">
        <f ca="1">IFERROR(__xludf.DUMMYFUNCTION("""COMPUTED_VALUE"""),"No plant effect")</f>
        <v>No plant effect</v>
      </c>
      <c r="K190" s="64"/>
      <c r="L190" s="64"/>
      <c r="M190" s="64" t="b">
        <f ca="1">IFERROR(__xludf.DUMMYFUNCTION("""COMPUTED_VALUE"""),FALSE)</f>
        <v>0</v>
      </c>
      <c r="N190" s="64" t="b">
        <f ca="1">IFERROR(__xludf.DUMMYFUNCTION("""COMPUTED_VALUE"""),FALSE)</f>
        <v>0</v>
      </c>
      <c r="O190" s="64">
        <f ca="1">IFERROR(__xludf.DUMMYFUNCTION("""COMPUTED_VALUE"""),0)</f>
        <v>0</v>
      </c>
      <c r="P190" s="64" t="str">
        <f ca="1">IFERROR(__xludf.DUMMYFUNCTION("""COMPUTED_VALUE"""),"Common")</f>
        <v>Common</v>
      </c>
      <c r="Q190" s="64" t="str">
        <f ca="1">IFERROR(__xludf.DUMMYFUNCTION("""COMPUTED_VALUE"""),"area-effect")</f>
        <v>area-effect</v>
      </c>
      <c r="R190" s="64" t="str">
        <f ca="1">IFERROR(__xludf.DUMMYFUNCTION("""COMPUTED_VALUE"""),"Leaf")</f>
        <v>Leaf</v>
      </c>
      <c r="S190" s="64" t="str">
        <f ca="1">IFERROR(__xludf.DUMMYFUNCTION("""COMPUTED_VALUE"""),"Origens")</f>
        <v>Origens</v>
      </c>
      <c r="T190" s="64" t="str">
        <f ca="1">IFERROR(__xludf.DUMMYFUNCTION("""COMPUTED_VALUE"""),"None")</f>
        <v>None</v>
      </c>
      <c r="U190" s="64" t="str">
        <f ca="1">IFERROR(__xludf.DUMMYFUNCTION("""COMPUTED_VALUE"""),"None")</f>
        <v>None</v>
      </c>
      <c r="V190" s="64" t="str">
        <f ca="1">IFERROR(__xludf.DUMMYFUNCTION("""COMPUTED_VALUE"""),"---")</f>
        <v>---</v>
      </c>
      <c r="W190" s="64" t="str">
        <f ca="1">IFERROR(__xludf.DUMMYFUNCTION("""COMPUTED_VALUE"""),"Support")</f>
        <v>Support</v>
      </c>
      <c r="X190" s="64" t="str">
        <f ca="1">IFERROR(__xludf.DUMMYFUNCTION("""COMPUTED_VALUE"""),"PvZ, PvZ Heroes, PvZ 3")</f>
        <v>PvZ, PvZ Heroes, PvZ 3</v>
      </c>
      <c r="Y190" s="65" t="str">
        <f ca="1">IFERROR(__xludf.DUMMYFUNCTION("""COMPUTED_VALUE"""),"https://static.wikia.nocookie.net/plantsvszombies/images/1/1d/Umbrella_Leaf3.png/revision/latest/scale-to-width-down/48?cb=20240620034801")</f>
        <v>https://static.wikia.nocookie.net/plantsvszombies/images/1/1d/Umbrella_Leaf3.png/revision/latest/scale-to-width-down/48?cb=20240620034801</v>
      </c>
    </row>
    <row r="191" spans="1:25" x14ac:dyDescent="0.2">
      <c r="A191" s="64">
        <f ca="1">IFERROR(__xludf.DUMMYFUNCTION("""COMPUTED_VALUE"""),2)</f>
        <v>2</v>
      </c>
      <c r="B191" s="64" t="str">
        <f ca="1">IFERROR(__xludf.DUMMYFUNCTION("""COMPUTED_VALUE"""),"Marigold")</f>
        <v>Marigold</v>
      </c>
      <c r="C191" s="64" t="str">
        <f ca="1">IFERROR(__xludf.DUMMYFUNCTION("""COMPUTED_VALUE"""),"Margarida")</f>
        <v>Margarida</v>
      </c>
      <c r="D191" s="64" t="str">
        <f ca="1">IFERROR(__xludf.DUMMYFUNCTION("""COMPUTED_VALUE"""),"Encanta")</f>
        <v>Encanta</v>
      </c>
      <c r="E191" s="64" t="str">
        <f ca="1">IFERROR(__xludf.DUMMYFUNCTION("""COMPUTED_VALUE"""),"Produz moedas")</f>
        <v>Produz moedas</v>
      </c>
      <c r="F191" s="64">
        <f ca="1">IFERROR(__xludf.DUMMYFUNCTION("""COMPUTED_VALUE"""),50)</f>
        <v>50</v>
      </c>
      <c r="G191" s="64">
        <f ca="1">IFERROR(__xludf.DUMMYFUNCTION("""COMPUTED_VALUE"""),300)</f>
        <v>300</v>
      </c>
      <c r="H191" s="64">
        <f ca="1">IFERROR(__xludf.DUMMYFUNCTION("""COMPUTED_VALUE"""),0)</f>
        <v>0</v>
      </c>
      <c r="I191" s="64">
        <f ca="1">IFERROR(__xludf.DUMMYFUNCTION("""COMPUTED_VALUE"""),30)</f>
        <v>30</v>
      </c>
      <c r="J191" s="64" t="str">
        <f ca="1">IFERROR(__xludf.DUMMYFUNCTION("""COMPUTED_VALUE"""),"No plant effect")</f>
        <v>No plant effect</v>
      </c>
      <c r="K191" s="64"/>
      <c r="L191" s="64"/>
      <c r="M191" s="64" t="b">
        <f ca="1">IFERROR(__xludf.DUMMYFUNCTION("""COMPUTED_VALUE"""),FALSE)</f>
        <v>0</v>
      </c>
      <c r="N191" s="64" t="b">
        <f ca="1">IFERROR(__xludf.DUMMYFUNCTION("""COMPUTED_VALUE"""),FALSE)</f>
        <v>0</v>
      </c>
      <c r="O191" s="64">
        <f ca="1">IFERROR(__xludf.DUMMYFUNCTION("""COMPUTED_VALUE"""),0)</f>
        <v>0</v>
      </c>
      <c r="P191" s="64" t="str">
        <f ca="1">IFERROR(__xludf.DUMMYFUNCTION("""COMPUTED_VALUE"""),"Uncommon")</f>
        <v>Uncommon</v>
      </c>
      <c r="Q191" s="64" t="str">
        <f ca="1">IFERROR(__xludf.DUMMYFUNCTION("""COMPUTED_VALUE"""),"area-effect")</f>
        <v>area-effect</v>
      </c>
      <c r="R191" s="64" t="str">
        <f ca="1">IFERROR(__xludf.DUMMYFUNCTION("""COMPUTED_VALUE"""),"Flower")</f>
        <v>Flower</v>
      </c>
      <c r="S191" s="64" t="str">
        <f ca="1">IFERROR(__xludf.DUMMYFUNCTION("""COMPUTED_VALUE"""),"Origens")</f>
        <v>Origens</v>
      </c>
      <c r="T191" s="64" t="str">
        <f ca="1">IFERROR(__xludf.DUMMYFUNCTION("""COMPUTED_VALUE"""),"None")</f>
        <v>None</v>
      </c>
      <c r="U191" s="64" t="str">
        <f ca="1">IFERROR(__xludf.DUMMYFUNCTION("""COMPUTED_VALUE"""),"None")</f>
        <v>None</v>
      </c>
      <c r="V191" s="64" t="str">
        <f ca="1">IFERROR(__xludf.DUMMYFUNCTION("""COMPUTED_VALUE"""),"---")</f>
        <v>---</v>
      </c>
      <c r="W191" s="64" t="str">
        <f ca="1">IFERROR(__xludf.DUMMYFUNCTION("""COMPUTED_VALUE"""),"Special")</f>
        <v>Special</v>
      </c>
      <c r="X191" s="64" t="str">
        <f ca="1">IFERROR(__xludf.DUMMYFUNCTION("""COMPUTED_VALUE"""),"PvZ, PvZ 2, PvZ GW 2, PvZ BfN")</f>
        <v>PvZ, PvZ 2, PvZ GW 2, PvZ BfN</v>
      </c>
      <c r="Y191" s="65" t="str">
        <f ca="1">IFERROR(__xludf.DUMMYFUNCTION("""COMPUTED_VALUE"""),"https://static.wikia.nocookie.net/plantsvszombies/images/7/73/Marigold2.png/revision/latest?cb=20151230034649")</f>
        <v>https://static.wikia.nocookie.net/plantsvszombies/images/7/73/Marigold2.png/revision/latest?cb=20151230034649</v>
      </c>
    </row>
    <row r="192" spans="1:25" x14ac:dyDescent="0.2">
      <c r="A192" s="64">
        <f ca="1">IFERROR(__xludf.DUMMYFUNCTION("""COMPUTED_VALUE"""),3)</f>
        <v>3</v>
      </c>
      <c r="B192" s="64" t="str">
        <f ca="1">IFERROR(__xludf.DUMMYFUNCTION("""COMPUTED_VALUE"""),"Gold Magnet")</f>
        <v>Gold Magnet</v>
      </c>
      <c r="C192" s="64" t="str">
        <f ca="1">IFERROR(__xludf.DUMMYFUNCTION("""COMPUTED_VALUE"""),"Imã Dourado")</f>
        <v>Imã Dourado</v>
      </c>
      <c r="D192" s="64" t="str">
        <f ca="1">IFERROR(__xludf.DUMMYFUNCTION("""COMPUTED_VALUE"""),"Refrea")</f>
        <v>Refrea</v>
      </c>
      <c r="E192" s="64" t="str">
        <f ca="1">IFERROR(__xludf.DUMMYFUNCTION("""COMPUTED_VALUE"""),"Remove objetos metálicos de zumbis e atrai moedas.")</f>
        <v>Remove objetos metálicos de zumbis e atrai moedas.</v>
      </c>
      <c r="F192" s="64">
        <f ca="1">IFERROR(__xludf.DUMMYFUNCTION("""COMPUTED_VALUE"""),50)</f>
        <v>50</v>
      </c>
      <c r="G192" s="64">
        <f ca="1">IFERROR(__xludf.DUMMYFUNCTION("""COMPUTED_VALUE"""),300)</f>
        <v>300</v>
      </c>
      <c r="H192" s="64">
        <f ca="1">IFERROR(__xludf.DUMMYFUNCTION("""COMPUTED_VALUE"""),0)</f>
        <v>0</v>
      </c>
      <c r="I192" s="64">
        <f ca="1">IFERROR(__xludf.DUMMYFUNCTION("""COMPUTED_VALUE"""),50)</f>
        <v>50</v>
      </c>
      <c r="J192" s="64" t="str">
        <f ca="1">IFERROR(__xludf.DUMMYFUNCTION("""COMPUTED_VALUE"""),"No plant effect")</f>
        <v>No plant effect</v>
      </c>
      <c r="K192" s="64" t="str">
        <f ca="1">IFERROR(__xludf.DUMMYFUNCTION("""COMPUTED_VALUE"""),"Evolução de planta")</f>
        <v>Evolução de planta</v>
      </c>
      <c r="L192" s="64"/>
      <c r="M192" s="64" t="b">
        <f ca="1">IFERROR(__xludf.DUMMYFUNCTION("""COMPUTED_VALUE"""),FALSE)</f>
        <v>0</v>
      </c>
      <c r="N192" s="64" t="b">
        <f ca="1">IFERROR(__xludf.DUMMYFUNCTION("""COMPUTED_VALUE"""),FALSE)</f>
        <v>0</v>
      </c>
      <c r="O192" s="64">
        <f ca="1">IFERROR(__xludf.DUMMYFUNCTION("""COMPUTED_VALUE"""),0)</f>
        <v>0</v>
      </c>
      <c r="P192" s="64" t="str">
        <f ca="1">IFERROR(__xludf.DUMMYFUNCTION("""COMPUTED_VALUE"""),"Epic")</f>
        <v>Epic</v>
      </c>
      <c r="Q192" s="64" t="str">
        <f ca="1">IFERROR(__xludf.DUMMYFUNCTION("""COMPUTED_VALUE"""),"area-effect")</f>
        <v>area-effect</v>
      </c>
      <c r="R192" s="64" t="str">
        <f ca="1">IFERROR(__xludf.DUMMYFUNCTION("""COMPUTED_VALUE"""),"Leaf")</f>
        <v>Leaf</v>
      </c>
      <c r="S192" s="64" t="str">
        <f ca="1">IFERROR(__xludf.DUMMYFUNCTION("""COMPUTED_VALUE"""),"Origens")</f>
        <v>Origens</v>
      </c>
      <c r="T192" s="64" t="str">
        <f ca="1">IFERROR(__xludf.DUMMYFUNCTION("""COMPUTED_VALUE"""),"None")</f>
        <v>None</v>
      </c>
      <c r="U192" s="64" t="str">
        <f ca="1">IFERROR(__xludf.DUMMYFUNCTION("""COMPUTED_VALUE"""),"None")</f>
        <v>None</v>
      </c>
      <c r="V192" s="64" t="str">
        <f ca="1">IFERROR(__xludf.DUMMYFUNCTION("""COMPUTED_VALUE"""),"---")</f>
        <v>---</v>
      </c>
      <c r="W192" s="64" t="str">
        <f ca="1">IFERROR(__xludf.DUMMYFUNCTION("""COMPUTED_VALUE"""),"Special")</f>
        <v>Special</v>
      </c>
      <c r="X192" s="64" t="str">
        <f ca="1">IFERROR(__xludf.DUMMYFUNCTION("""COMPUTED_VALUE"""),"PvZ")</f>
        <v>PvZ</v>
      </c>
      <c r="Y192" s="65" t="str">
        <f ca="1">IFERROR(__xludf.DUMMYFUNCTION("""COMPUTED_VALUE"""),"https://static.wikia.nocookie.net/plantsvszombies/images/1/18/Gold_Magnet1.png/revision/latest?cb=20170630021728")</f>
        <v>https://static.wikia.nocookie.net/plantsvszombies/images/1/18/Gold_Magnet1.png/revision/latest?cb=20170630021728</v>
      </c>
    </row>
    <row r="193" spans="1:25" x14ac:dyDescent="0.2">
      <c r="A193" s="64">
        <f ca="1">IFERROR(__xludf.DUMMYFUNCTION("""COMPUTED_VALUE"""),4)</f>
        <v>4</v>
      </c>
      <c r="B193" s="64" t="str">
        <f ca="1">IFERROR(__xludf.DUMMYFUNCTION("""COMPUTED_VALUE"""),"Aspearagus")</f>
        <v>Aspearagus</v>
      </c>
      <c r="C193" s="64" t="str">
        <f ca="1">IFERROR(__xludf.DUMMYFUNCTION("""COMPUTED_VALUE"""),"Aspargo")</f>
        <v>Aspargo</v>
      </c>
      <c r="D193" s="64" t="str">
        <f ca="1">IFERROR(__xludf.DUMMYFUNCTION("""COMPUTED_VALUE"""),"Dispara")</f>
        <v>Dispara</v>
      </c>
      <c r="E193" s="64" t="str">
        <f ca="1">IFERROR(__xludf.DUMMYFUNCTION("""COMPUTED_VALUE"""),"Dispara de longas distancias")</f>
        <v>Dispara de longas distancias</v>
      </c>
      <c r="F193" s="64">
        <f ca="1">IFERROR(__xludf.DUMMYFUNCTION("""COMPUTED_VALUE"""),125)</f>
        <v>125</v>
      </c>
      <c r="G193" s="64">
        <f ca="1">IFERROR(__xludf.DUMMYFUNCTION("""COMPUTED_VALUE"""),300)</f>
        <v>300</v>
      </c>
      <c r="H193" s="64">
        <f ca="1">IFERROR(__xludf.DUMMYFUNCTION("""COMPUTED_VALUE"""),30)</f>
        <v>30</v>
      </c>
      <c r="I193" s="64">
        <f ca="1">IFERROR(__xludf.DUMMYFUNCTION("""COMPUTED_VALUE"""),10)</f>
        <v>10</v>
      </c>
      <c r="J193" s="64" t="str">
        <f ca="1">IFERROR(__xludf.DUMMYFUNCTION("""COMPUTED_VALUE"""),"No plant effect")</f>
        <v>No plant effect</v>
      </c>
      <c r="K193" s="64"/>
      <c r="L193" s="64"/>
      <c r="M193" s="64" t="b">
        <f ca="1">IFERROR(__xludf.DUMMYFUNCTION("""COMPUTED_VALUE"""),FALSE)</f>
        <v>0</v>
      </c>
      <c r="N193" s="64" t="b">
        <f ca="1">IFERROR(__xludf.DUMMYFUNCTION("""COMPUTED_VALUE"""),FALSE)</f>
        <v>0</v>
      </c>
      <c r="O193" s="64">
        <f ca="1">IFERROR(__xludf.DUMMYFUNCTION("""COMPUTED_VALUE"""),0)</f>
        <v>0</v>
      </c>
      <c r="P193" s="64" t="str">
        <f ca="1">IFERROR(__xludf.DUMMYFUNCTION("""COMPUTED_VALUE"""),"Common")</f>
        <v>Common</v>
      </c>
      <c r="Q193" s="64"/>
      <c r="R193" s="64" t="str">
        <f ca="1">IFERROR(__xludf.DUMMYFUNCTION("""COMPUTED_VALUE"""),"Vegetable")</f>
        <v>Vegetable</v>
      </c>
      <c r="S193" s="64" t="str">
        <f ca="1">IFERROR(__xludf.DUMMYFUNCTION("""COMPUTED_VALUE"""),"Adventure")</f>
        <v>Adventure</v>
      </c>
      <c r="T193" s="64" t="str">
        <f ca="1">IFERROR(__xludf.DUMMYFUNCTION("""COMPUTED_VALUE"""),"None")</f>
        <v>None</v>
      </c>
      <c r="U193" s="64" t="str">
        <f ca="1">IFERROR(__xludf.DUMMYFUNCTION("""COMPUTED_VALUE"""),"None")</f>
        <v>None</v>
      </c>
      <c r="V193" s="64" t="str">
        <f ca="1">IFERROR(__xludf.DUMMYFUNCTION("""COMPUTED_VALUE"""),"---")</f>
        <v>---</v>
      </c>
      <c r="W193" s="64" t="str">
        <f ca="1">IFERROR(__xludf.DUMMYFUNCTION("""COMPUTED_VALUE"""),"Ranged")</f>
        <v>Ranged</v>
      </c>
      <c r="X193" s="64" t="str">
        <f ca="1">IFERROR(__xludf.DUMMYFUNCTION("""COMPUTED_VALUE"""),"PvZA")</f>
        <v>PvZA</v>
      </c>
      <c r="Y193" s="65" t="str">
        <f ca="1">IFERROR(__xludf.DUMMYFUNCTION("""COMPUTED_VALUE"""),"https://static.wikia.nocookie.net/plantsvszombies/images/6/6a/AspearagusA.png/revision/latest?cb=20130502101541")</f>
        <v>https://static.wikia.nocookie.net/plantsvszombies/images/6/6a/AspearagusA.png/revision/latest?cb=20130502101541</v>
      </c>
    </row>
    <row r="194" spans="1:25" x14ac:dyDescent="0.2">
      <c r="A194" s="64">
        <f ca="1">IFERROR(__xludf.DUMMYFUNCTION("""COMPUTED_VALUE"""),5)</f>
        <v>5</v>
      </c>
      <c r="B194" s="64" t="str">
        <f ca="1">IFERROR(__xludf.DUMMYFUNCTION("""COMPUTED_VALUE"""),"Popcorn")</f>
        <v>Popcorn</v>
      </c>
      <c r="C194" s="64" t="str">
        <f ca="1">IFERROR(__xludf.DUMMYFUNCTION("""COMPUTED_VALUE"""),"Milho")</f>
        <v>Milho</v>
      </c>
      <c r="D194" s="64" t="str">
        <f ca="1">IFERROR(__xludf.DUMMYFUNCTION("""COMPUTED_VALUE"""),"Endurecida")</f>
        <v>Endurecida</v>
      </c>
      <c r="E194" s="64" t="str">
        <f ca="1">IFERROR(__xludf.DUMMYFUNCTION("""COMPUTED_VALUE"""),"Explodes ao contacto, leva um tempo pra carregar")</f>
        <v>Explodes ao contacto, leva um tempo pra carregar</v>
      </c>
      <c r="F194" s="64">
        <f ca="1">IFERROR(__xludf.DUMMYFUNCTION("""COMPUTED_VALUE"""),50)</f>
        <v>50</v>
      </c>
      <c r="G194" s="64">
        <f ca="1">IFERROR(__xludf.DUMMYFUNCTION("""COMPUTED_VALUE"""),1000)</f>
        <v>1000</v>
      </c>
      <c r="H194" s="64">
        <f ca="1">IFERROR(__xludf.DUMMYFUNCTION("""COMPUTED_VALUE"""),0)</f>
        <v>0</v>
      </c>
      <c r="I194" s="64">
        <f ca="1">IFERROR(__xludf.DUMMYFUNCTION("""COMPUTED_VALUE"""),20)</f>
        <v>20</v>
      </c>
      <c r="J194" s="64" t="str">
        <f ca="1">IFERROR(__xludf.DUMMYFUNCTION("""COMPUTED_VALUE"""),"No plant effect")</f>
        <v>No plant effect</v>
      </c>
      <c r="K194" s="64"/>
      <c r="L194" s="64"/>
      <c r="M194" s="64" t="b">
        <f ca="1">IFERROR(__xludf.DUMMYFUNCTION("""COMPUTED_VALUE"""),FALSE)</f>
        <v>0</v>
      </c>
      <c r="N194" s="64" t="b">
        <f ca="1">IFERROR(__xludf.DUMMYFUNCTION("""COMPUTED_VALUE"""),FALSE)</f>
        <v>0</v>
      </c>
      <c r="O194" s="64">
        <f ca="1">IFERROR(__xludf.DUMMYFUNCTION("""COMPUTED_VALUE"""),0)</f>
        <v>0</v>
      </c>
      <c r="P194" s="64" t="str">
        <f ca="1">IFERROR(__xludf.DUMMYFUNCTION("""COMPUTED_VALUE"""),"Common")</f>
        <v>Common</v>
      </c>
      <c r="Q194" s="64"/>
      <c r="R194" s="64" t="str">
        <f ca="1">IFERROR(__xludf.DUMMYFUNCTION("""COMPUTED_VALUE"""),"Vegetable")</f>
        <v>Vegetable</v>
      </c>
      <c r="S194" s="64" t="str">
        <f ca="1">IFERROR(__xludf.DUMMYFUNCTION("""COMPUTED_VALUE"""),"Adventure")</f>
        <v>Adventure</v>
      </c>
      <c r="T194" s="64" t="str">
        <f ca="1">IFERROR(__xludf.DUMMYFUNCTION("""COMPUTED_VALUE"""),"None")</f>
        <v>None</v>
      </c>
      <c r="U194" s="64" t="str">
        <f ca="1">IFERROR(__xludf.DUMMYFUNCTION("""COMPUTED_VALUE"""),"None")</f>
        <v>None</v>
      </c>
      <c r="V194" s="64" t="str">
        <f ca="1">IFERROR(__xludf.DUMMYFUNCTION("""COMPUTED_VALUE"""),"---")</f>
        <v>---</v>
      </c>
      <c r="W194" s="64" t="str">
        <f ca="1">IFERROR(__xludf.DUMMYFUNCTION("""COMPUTED_VALUE"""),"Tough")</f>
        <v>Tough</v>
      </c>
      <c r="X194" s="64" t="str">
        <f ca="1">IFERROR(__xludf.DUMMYFUNCTION("""COMPUTED_VALUE"""),"PvZA")</f>
        <v>PvZA</v>
      </c>
      <c r="Y194" s="65" t="str">
        <f ca="1">IFERROR(__xludf.DUMMYFUNCTION("""COMPUTED_VALUE"""),"https://static.wikia.nocookie.net/plantsvszombies/images/0/02/PopcornA.png/revision/latest?cb=20130809003435")</f>
        <v>https://static.wikia.nocookie.net/plantsvszombies/images/0/02/PopcornA.png/revision/latest?cb=20130809003435</v>
      </c>
    </row>
    <row r="195" spans="1:25" x14ac:dyDescent="0.2">
      <c r="A195" s="64">
        <f ca="1">IFERROR(__xludf.DUMMYFUNCTION("""COMPUTED_VALUE"""),6)</f>
        <v>6</v>
      </c>
      <c r="B195" s="64" t="str">
        <f ca="1">IFERROR(__xludf.DUMMYFUNCTION("""COMPUTED_VALUE"""),"Beet")</f>
        <v>Beet</v>
      </c>
      <c r="C195" s="64" t="str">
        <f ca="1">IFERROR(__xludf.DUMMYFUNCTION("""COMPUTED_VALUE"""),"Baterraba")</f>
        <v>Baterraba</v>
      </c>
      <c r="D195" s="64" t="str">
        <f ca="1">IFERROR(__xludf.DUMMYFUNCTION("""COMPUTED_VALUE"""),"Surra")</f>
        <v>Surra</v>
      </c>
      <c r="E195" s="64" t="str">
        <f ca="1">IFERROR(__xludf.DUMMYFUNCTION("""COMPUTED_VALUE"""),"Headbutts zombies into submission")</f>
        <v>Headbutts zombies into submission</v>
      </c>
      <c r="F195" s="64">
        <f ca="1">IFERROR(__xludf.DUMMYFUNCTION("""COMPUTED_VALUE"""),100)</f>
        <v>100</v>
      </c>
      <c r="G195" s="64">
        <f ca="1">IFERROR(__xludf.DUMMYFUNCTION("""COMPUTED_VALUE"""),300)</f>
        <v>300</v>
      </c>
      <c r="H195" s="64">
        <f ca="1">IFERROR(__xludf.DUMMYFUNCTION("""COMPUTED_VALUE"""),40)</f>
        <v>40</v>
      </c>
      <c r="I195" s="64">
        <f ca="1">IFERROR(__xludf.DUMMYFUNCTION("""COMPUTED_VALUE"""),40)</f>
        <v>40</v>
      </c>
      <c r="J195" s="64" t="str">
        <f ca="1">IFERROR(__xludf.DUMMYFUNCTION("""COMPUTED_VALUE"""),"No plant effect")</f>
        <v>No plant effect</v>
      </c>
      <c r="K195" s="64"/>
      <c r="L195" s="64"/>
      <c r="M195" s="64" t="b">
        <f ca="1">IFERROR(__xludf.DUMMYFUNCTION("""COMPUTED_VALUE"""),FALSE)</f>
        <v>0</v>
      </c>
      <c r="N195" s="64" t="b">
        <f ca="1">IFERROR(__xludf.DUMMYFUNCTION("""COMPUTED_VALUE"""),FALSE)</f>
        <v>0</v>
      </c>
      <c r="O195" s="64">
        <f ca="1">IFERROR(__xludf.DUMMYFUNCTION("""COMPUTED_VALUE"""),0)</f>
        <v>0</v>
      </c>
      <c r="P195" s="64" t="str">
        <f ca="1">IFERROR(__xludf.DUMMYFUNCTION("""COMPUTED_VALUE"""),"Common")</f>
        <v>Common</v>
      </c>
      <c r="Q195" s="64"/>
      <c r="R195" s="64" t="str">
        <f ca="1">IFERROR(__xludf.DUMMYFUNCTION("""COMPUTED_VALUE"""),"Vegetable")</f>
        <v>Vegetable</v>
      </c>
      <c r="S195" s="64" t="str">
        <f ca="1">IFERROR(__xludf.DUMMYFUNCTION("""COMPUTED_VALUE"""),"Adventure")</f>
        <v>Adventure</v>
      </c>
      <c r="T195" s="64" t="str">
        <f ca="1">IFERROR(__xludf.DUMMYFUNCTION("""COMPUTED_VALUE"""),"None")</f>
        <v>None</v>
      </c>
      <c r="U195" s="64" t="str">
        <f ca="1">IFERROR(__xludf.DUMMYFUNCTION("""COMPUTED_VALUE"""),"None")</f>
        <v>None</v>
      </c>
      <c r="V195" s="64" t="str">
        <f ca="1">IFERROR(__xludf.DUMMYFUNCTION("""COMPUTED_VALUE"""),"---")</f>
        <v>---</v>
      </c>
      <c r="W195" s="64" t="str">
        <f ca="1">IFERROR(__xludf.DUMMYFUNCTION("""COMPUTED_VALUE"""),"Vanguard")</f>
        <v>Vanguard</v>
      </c>
      <c r="X195" s="64" t="str">
        <f ca="1">IFERROR(__xludf.DUMMYFUNCTION("""COMPUTED_VALUE"""),"PvZA")</f>
        <v>PvZA</v>
      </c>
      <c r="Y195" s="65" t="str">
        <f ca="1">IFERROR(__xludf.DUMMYFUNCTION("""COMPUTED_VALUE"""),"https://static.wikia.nocookie.net/plantsvszombies/images/3/32/BeetA.png/revision/latest?cb=20130510211801")</f>
        <v>https://static.wikia.nocookie.net/plantsvszombies/images/3/32/BeetA.png/revision/latest?cb=20130510211801</v>
      </c>
    </row>
    <row r="196" spans="1:25" x14ac:dyDescent="0.2">
      <c r="A196" s="64">
        <f ca="1">IFERROR(__xludf.DUMMYFUNCTION("""COMPUTED_VALUE"""),7)</f>
        <v>7</v>
      </c>
      <c r="B196" s="64" t="str">
        <f ca="1">IFERROR(__xludf.DUMMYFUNCTION("""COMPUTED_VALUE"""),"Magnet Plant")</f>
        <v>Magnet Plant</v>
      </c>
      <c r="C196" s="64" t="str">
        <f ca="1">IFERROR(__xludf.DUMMYFUNCTION("""COMPUTED_VALUE"""),"Planta Magnética")</f>
        <v>Planta Magnética</v>
      </c>
      <c r="D196" s="64" t="str">
        <f ca="1">IFERROR(__xludf.DUMMYFUNCTION("""COMPUTED_VALUE"""),"Refrea")</f>
        <v>Refrea</v>
      </c>
      <c r="E196" s="64" t="str">
        <f ca="1">IFERROR(__xludf.DUMMYFUNCTION("""COMPUTED_VALUE"""),"Grabs metallic objects from zombies")</f>
        <v>Grabs metallic objects from zombies</v>
      </c>
      <c r="F196" s="64">
        <f ca="1">IFERROR(__xludf.DUMMYFUNCTION("""COMPUTED_VALUE"""),100)</f>
        <v>100</v>
      </c>
      <c r="G196" s="64">
        <f ca="1">IFERROR(__xludf.DUMMYFUNCTION("""COMPUTED_VALUE"""),300)</f>
        <v>300</v>
      </c>
      <c r="H196" s="64">
        <f ca="1">IFERROR(__xludf.DUMMYFUNCTION("""COMPUTED_VALUE"""),0)</f>
        <v>0</v>
      </c>
      <c r="I196" s="64">
        <f ca="1">IFERROR(__xludf.DUMMYFUNCTION("""COMPUTED_VALUE"""),40)</f>
        <v>40</v>
      </c>
      <c r="J196" s="64" t="str">
        <f ca="1">IFERROR(__xludf.DUMMYFUNCTION("""COMPUTED_VALUE"""),"No plant effect")</f>
        <v>No plant effect</v>
      </c>
      <c r="K196" s="64"/>
      <c r="L196" s="64"/>
      <c r="M196" s="64" t="b">
        <f ca="1">IFERROR(__xludf.DUMMYFUNCTION("""COMPUTED_VALUE"""),FALSE)</f>
        <v>0</v>
      </c>
      <c r="N196" s="64" t="b">
        <f ca="1">IFERROR(__xludf.DUMMYFUNCTION("""COMPUTED_VALUE"""),FALSE)</f>
        <v>0</v>
      </c>
      <c r="O196" s="64">
        <f ca="1">IFERROR(__xludf.DUMMYFUNCTION("""COMPUTED_VALUE"""),0)</f>
        <v>0</v>
      </c>
      <c r="P196" s="64" t="str">
        <f ca="1">IFERROR(__xludf.DUMMYFUNCTION("""COMPUTED_VALUE"""),"Uncommon")</f>
        <v>Uncommon</v>
      </c>
      <c r="Q196" s="64"/>
      <c r="R196" s="64" t="str">
        <f ca="1">IFERROR(__xludf.DUMMYFUNCTION("""COMPUTED_VALUE"""),"Leaf")</f>
        <v>Leaf</v>
      </c>
      <c r="S196" s="64" t="str">
        <f ca="1">IFERROR(__xludf.DUMMYFUNCTION("""COMPUTED_VALUE"""),"Adventure")</f>
        <v>Adventure</v>
      </c>
      <c r="T196" s="64" t="str">
        <f ca="1">IFERROR(__xludf.DUMMYFUNCTION("""COMPUTED_VALUE"""),"None")</f>
        <v>None</v>
      </c>
      <c r="U196" s="64" t="str">
        <f ca="1">IFERROR(__xludf.DUMMYFUNCTION("""COMPUTED_VALUE"""),"None")</f>
        <v>None</v>
      </c>
      <c r="V196" s="64" t="str">
        <f ca="1">IFERROR(__xludf.DUMMYFUNCTION("""COMPUTED_VALUE"""),"---")</f>
        <v>---</v>
      </c>
      <c r="W196" s="64" t="str">
        <f ca="1">IFERROR(__xludf.DUMMYFUNCTION("""COMPUTED_VALUE"""),"Special")</f>
        <v>Special</v>
      </c>
      <c r="X196" s="64" t="str">
        <f ca="1">IFERROR(__xludf.DUMMYFUNCTION("""COMPUTED_VALUE"""),"PvZA")</f>
        <v>PvZA</v>
      </c>
      <c r="Y196" s="65" t="str">
        <f ca="1">IFERROR(__xludf.DUMMYFUNCTION("""COMPUTED_VALUE"""),"https://static.wikia.nocookie.net/plantsvszombies/images/3/35/Magnet_PlantA.png/revision/latest?cb=20130521212819")</f>
        <v>https://static.wikia.nocookie.net/plantsvszombies/images/3/35/Magnet_PlantA.png/revision/latest?cb=20130521212819</v>
      </c>
    </row>
    <row r="197" spans="1:25" x14ac:dyDescent="0.2">
      <c r="A197" s="64">
        <f ca="1">IFERROR(__xludf.DUMMYFUNCTION("""COMPUTED_VALUE"""),8)</f>
        <v>8</v>
      </c>
      <c r="B197" s="64" t="str">
        <f ca="1">IFERROR(__xludf.DUMMYFUNCTION("""COMPUTED_VALUE"""),"Flaming Pea")</f>
        <v>Flaming Pea</v>
      </c>
      <c r="C197" s="64" t="str">
        <f ca="1">IFERROR(__xludf.DUMMYFUNCTION("""COMPUTED_VALUE"""),"Ervilha Flamejante")</f>
        <v>Ervilha Flamejante</v>
      </c>
      <c r="D197" s="64" t="str">
        <f ca="1">IFERROR(__xludf.DUMMYFUNCTION("""COMPUTED_VALUE"""),"Aquecida")</f>
        <v>Aquecida</v>
      </c>
      <c r="E197" s="64" t="str">
        <f ca="1">IFERROR(__xludf.DUMMYFUNCTION("""COMPUTED_VALUE"""),"Shoots fiery peas which burn so good")</f>
        <v>Shoots fiery peas which burn so good</v>
      </c>
      <c r="F197" s="64">
        <f ca="1">IFERROR(__xludf.DUMMYFUNCTION("""COMPUTED_VALUE"""),125)</f>
        <v>125</v>
      </c>
      <c r="G197" s="64">
        <f ca="1">IFERROR(__xludf.DUMMYFUNCTION("""COMPUTED_VALUE"""),300)</f>
        <v>300</v>
      </c>
      <c r="H197" s="64">
        <f ca="1">IFERROR(__xludf.DUMMYFUNCTION("""COMPUTED_VALUE"""),40)</f>
        <v>40</v>
      </c>
      <c r="I197" s="64">
        <f ca="1">IFERROR(__xludf.DUMMYFUNCTION("""COMPUTED_VALUE"""),60)</f>
        <v>60</v>
      </c>
      <c r="J197" s="64" t="str">
        <f ca="1">IFERROR(__xludf.DUMMYFUNCTION("""COMPUTED_VALUE"""),"No plant effect")</f>
        <v>No plant effect</v>
      </c>
      <c r="K197" s="64"/>
      <c r="L197" s="64"/>
      <c r="M197" s="64" t="b">
        <f ca="1">IFERROR(__xludf.DUMMYFUNCTION("""COMPUTED_VALUE"""),FALSE)</f>
        <v>0</v>
      </c>
      <c r="N197" s="64" t="b">
        <f ca="1">IFERROR(__xludf.DUMMYFUNCTION("""COMPUTED_VALUE"""),FALSE)</f>
        <v>0</v>
      </c>
      <c r="O197" s="64">
        <f ca="1">IFERROR(__xludf.DUMMYFUNCTION("""COMPUTED_VALUE"""),0)</f>
        <v>0</v>
      </c>
      <c r="P197" s="64" t="str">
        <f ca="1">IFERROR(__xludf.DUMMYFUNCTION("""COMPUTED_VALUE"""),"Uncommon")</f>
        <v>Uncommon</v>
      </c>
      <c r="Q197" s="64"/>
      <c r="R197" s="64" t="str">
        <f ca="1">IFERROR(__xludf.DUMMYFUNCTION("""COMPUTED_VALUE"""),"Pea")</f>
        <v>Pea</v>
      </c>
      <c r="S197" s="64" t="str">
        <f ca="1">IFERROR(__xludf.DUMMYFUNCTION("""COMPUTED_VALUE"""),"Adventure")</f>
        <v>Adventure</v>
      </c>
      <c r="T197" s="64" t="str">
        <f ca="1">IFERROR(__xludf.DUMMYFUNCTION("""COMPUTED_VALUE"""),"None")</f>
        <v>None</v>
      </c>
      <c r="U197" s="64" t="str">
        <f ca="1">IFERROR(__xludf.DUMMYFUNCTION("""COMPUTED_VALUE"""),"None")</f>
        <v>None</v>
      </c>
      <c r="V197" s="64" t="str">
        <f ca="1">IFERROR(__xludf.DUMMYFUNCTION("""COMPUTED_VALUE"""),"---")</f>
        <v>---</v>
      </c>
      <c r="W197" s="64" t="str">
        <f ca="1">IFERROR(__xludf.DUMMYFUNCTION("""COMPUTED_VALUE"""),"Ranged")</f>
        <v>Ranged</v>
      </c>
      <c r="X197" s="64" t="str">
        <f ca="1">IFERROR(__xludf.DUMMYFUNCTION("""COMPUTED_VALUE"""),"PvZA")</f>
        <v>PvZA</v>
      </c>
      <c r="Y197" s="65" t="str">
        <f ca="1">IFERROR(__xludf.DUMMYFUNCTION("""COMPUTED_VALUE"""),"https://static.wikia.nocookie.net/plantsvszombies/images/3/32/Flaming_PeaA.png/revision/latest?cb=20160403150613")</f>
        <v>https://static.wikia.nocookie.net/plantsvszombies/images/3/32/Flaming_PeaA.png/revision/latest?cb=20160403150613</v>
      </c>
    </row>
    <row r="198" spans="1:25" x14ac:dyDescent="0.2">
      <c r="A198" s="64">
        <f ca="1">IFERROR(__xludf.DUMMYFUNCTION("""COMPUTED_VALUE"""),9)</f>
        <v>9</v>
      </c>
      <c r="B198" s="64" t="str">
        <f ca="1">IFERROR(__xludf.DUMMYFUNCTION("""COMPUTED_VALUE"""),"Shamrock")</f>
        <v>Shamrock</v>
      </c>
      <c r="C198" s="64" t="str">
        <f ca="1">IFERROR(__xludf.DUMMYFUNCTION("""COMPUTED_VALUE"""),"Trevo")</f>
        <v>Trevo</v>
      </c>
      <c r="D198" s="64" t="str">
        <f ca="1">IFERROR(__xludf.DUMMYFUNCTION("""COMPUTED_VALUE"""),"Dispara")</f>
        <v>Dispara</v>
      </c>
      <c r="E198" s="64" t="str">
        <f ca="1">IFERROR(__xludf.DUMMYFUNCTION("""COMPUTED_VALUE"""),"Atira a longa distancia, se esconde quando houver oponentes por perto")</f>
        <v>Atira a longa distancia, se esconde quando houver oponentes por perto</v>
      </c>
      <c r="F198" s="64">
        <f ca="1">IFERROR(__xludf.DUMMYFUNCTION("""COMPUTED_VALUE"""),125)</f>
        <v>125</v>
      </c>
      <c r="G198" s="64">
        <f ca="1">IFERROR(__xludf.DUMMYFUNCTION("""COMPUTED_VALUE"""),300)</f>
        <v>300</v>
      </c>
      <c r="H198" s="64">
        <f ca="1">IFERROR(__xludf.DUMMYFUNCTION("""COMPUTED_VALUE"""),60)</f>
        <v>60</v>
      </c>
      <c r="I198" s="64">
        <f ca="1">IFERROR(__xludf.DUMMYFUNCTION("""COMPUTED_VALUE"""),40)</f>
        <v>40</v>
      </c>
      <c r="J198" s="64" t="str">
        <f ca="1">IFERROR(__xludf.DUMMYFUNCTION("""COMPUTED_VALUE"""),"No plant effect")</f>
        <v>No plant effect</v>
      </c>
      <c r="K198" s="64"/>
      <c r="L198" s="64"/>
      <c r="M198" s="64" t="b">
        <f ca="1">IFERROR(__xludf.DUMMYFUNCTION("""COMPUTED_VALUE"""),FALSE)</f>
        <v>0</v>
      </c>
      <c r="N198" s="64" t="b">
        <f ca="1">IFERROR(__xludf.DUMMYFUNCTION("""COMPUTED_VALUE"""),FALSE)</f>
        <v>0</v>
      </c>
      <c r="O198" s="64">
        <f ca="1">IFERROR(__xludf.DUMMYFUNCTION("""COMPUTED_VALUE"""),0)</f>
        <v>0</v>
      </c>
      <c r="P198" s="64" t="str">
        <f ca="1">IFERROR(__xludf.DUMMYFUNCTION("""COMPUTED_VALUE"""),"Rare")</f>
        <v>Rare</v>
      </c>
      <c r="Q198" s="64"/>
      <c r="R198" s="64" t="str">
        <f ca="1">IFERROR(__xludf.DUMMYFUNCTION("""COMPUTED_VALUE"""),"Leaf")</f>
        <v>Leaf</v>
      </c>
      <c r="S198" s="64" t="str">
        <f ca="1">IFERROR(__xludf.DUMMYFUNCTION("""COMPUTED_VALUE"""),"Adventure")</f>
        <v>Adventure</v>
      </c>
      <c r="T198" s="64" t="str">
        <f ca="1">IFERROR(__xludf.DUMMYFUNCTION("""COMPUTED_VALUE"""),"None")</f>
        <v>None</v>
      </c>
      <c r="U198" s="64" t="str">
        <f ca="1">IFERROR(__xludf.DUMMYFUNCTION("""COMPUTED_VALUE"""),"None")</f>
        <v>None</v>
      </c>
      <c r="V198" s="64" t="str">
        <f ca="1">IFERROR(__xludf.DUMMYFUNCTION("""COMPUTED_VALUE"""),"---")</f>
        <v>---</v>
      </c>
      <c r="W198" s="64" t="str">
        <f ca="1">IFERROR(__xludf.DUMMYFUNCTION("""COMPUTED_VALUE"""),"Ranged")</f>
        <v>Ranged</v>
      </c>
      <c r="X198" s="64" t="str">
        <f ca="1">IFERROR(__xludf.DUMMYFUNCTION("""COMPUTED_VALUE"""),"PvZA")</f>
        <v>PvZA</v>
      </c>
      <c r="Y198" s="65" t="str">
        <f ca="1">IFERROR(__xludf.DUMMYFUNCTION("""COMPUTED_VALUE"""),"https://static.wikia.nocookie.net/plantsvszombies/images/1/12/ShamrockA.png/revision/latest?cb=20130521213245")</f>
        <v>https://static.wikia.nocookie.net/plantsvszombies/images/1/12/ShamrockA.png/revision/latest?cb=20130521213245</v>
      </c>
    </row>
    <row r="199" spans="1:25" x14ac:dyDescent="0.2">
      <c r="A199" s="64">
        <f ca="1">IFERROR(__xludf.DUMMYFUNCTION("""COMPUTED_VALUE"""),10)</f>
        <v>10</v>
      </c>
      <c r="B199" s="64" t="str">
        <f ca="1">IFERROR(__xludf.DUMMYFUNCTION("""COMPUTED_VALUE"""),"Bamboo shot")</f>
        <v>Bamboo shot</v>
      </c>
      <c r="C199" s="64" t="str">
        <f ca="1">IFERROR(__xludf.DUMMYFUNCTION("""COMPUTED_VALUE"""),"Tiro de bambu")</f>
        <v>Tiro de bambu</v>
      </c>
      <c r="D199" s="64" t="str">
        <f ca="1">IFERROR(__xludf.DUMMYFUNCTION("""COMPUTED_VALUE"""),"Arma")</f>
        <v>Arma</v>
      </c>
      <c r="E199" s="64" t="str">
        <f ca="1">IFERROR(__xludf.DUMMYFUNCTION("""COMPUTED_VALUE"""),"Dispara projeteis explosivos")</f>
        <v>Dispara projeteis explosivos</v>
      </c>
      <c r="F199" s="64">
        <f ca="1">IFERROR(__xludf.DUMMYFUNCTION("""COMPUTED_VALUE"""),175)</f>
        <v>175</v>
      </c>
      <c r="G199" s="64">
        <f ca="1">IFERROR(__xludf.DUMMYFUNCTION("""COMPUTED_VALUE"""),300)</f>
        <v>300</v>
      </c>
      <c r="H199" s="64">
        <f ca="1">IFERROR(__xludf.DUMMYFUNCTION("""COMPUTED_VALUE"""),160)</f>
        <v>160</v>
      </c>
      <c r="I199" s="64">
        <f ca="1">IFERROR(__xludf.DUMMYFUNCTION("""COMPUTED_VALUE"""),120)</f>
        <v>120</v>
      </c>
      <c r="J199" s="64" t="str">
        <f ca="1">IFERROR(__xludf.DUMMYFUNCTION("""COMPUTED_VALUE"""),"No plant effect")</f>
        <v>No plant effect</v>
      </c>
      <c r="K199" s="64"/>
      <c r="L199" s="64"/>
      <c r="M199" s="64" t="b">
        <f ca="1">IFERROR(__xludf.DUMMYFUNCTION("""COMPUTED_VALUE"""),FALSE)</f>
        <v>0</v>
      </c>
      <c r="N199" s="64" t="b">
        <f ca="1">IFERROR(__xludf.DUMMYFUNCTION("""COMPUTED_VALUE"""),FALSE)</f>
        <v>0</v>
      </c>
      <c r="O199" s="64">
        <f ca="1">IFERROR(__xludf.DUMMYFUNCTION("""COMPUTED_VALUE"""),0)</f>
        <v>0</v>
      </c>
      <c r="P199" s="64" t="str">
        <f ca="1">IFERROR(__xludf.DUMMYFUNCTION("""COMPUTED_VALUE"""),"Epic")</f>
        <v>Epic</v>
      </c>
      <c r="Q199" s="64"/>
      <c r="R199" s="64" t="str">
        <f ca="1">IFERROR(__xludf.DUMMYFUNCTION("""COMPUTED_VALUE"""),"Leaf")</f>
        <v>Leaf</v>
      </c>
      <c r="S199" s="64" t="str">
        <f ca="1">IFERROR(__xludf.DUMMYFUNCTION("""COMPUTED_VALUE"""),"Adventure")</f>
        <v>Adventure</v>
      </c>
      <c r="T199" s="64" t="str">
        <f ca="1">IFERROR(__xludf.DUMMYFUNCTION("""COMPUTED_VALUE"""),"None")</f>
        <v>None</v>
      </c>
      <c r="U199" s="64" t="str">
        <f ca="1">IFERROR(__xludf.DUMMYFUNCTION("""COMPUTED_VALUE"""),"None")</f>
        <v>None</v>
      </c>
      <c r="V199" s="64" t="str">
        <f ca="1">IFERROR(__xludf.DUMMYFUNCTION("""COMPUTED_VALUE"""),"---")</f>
        <v>---</v>
      </c>
      <c r="W199" s="64" t="str">
        <f ca="1">IFERROR(__xludf.DUMMYFUNCTION("""COMPUTED_VALUE"""),"Ranged")</f>
        <v>Ranged</v>
      </c>
      <c r="X199" s="64" t="str">
        <f ca="1">IFERROR(__xludf.DUMMYFUNCTION("""COMPUTED_VALUE"""),"PvZ GW, PvZ GW 2, PvZA")</f>
        <v>PvZ GW, PvZ GW 2, PvZA</v>
      </c>
      <c r="Y199" s="65" t="str">
        <f ca="1">IFERROR(__xludf.DUMMYFUNCTION("""COMPUTED_VALUE"""),"https://static.wikia.nocookie.net/plantsvszombies/images/6/66/Bamboo_ShootA.png/revision/latest?cb=20130524081642")</f>
        <v>https://static.wikia.nocookie.net/plantsvszombies/images/6/66/Bamboo_ShootA.png/revision/latest?cb=20130524081642</v>
      </c>
    </row>
    <row r="200" spans="1:25" x14ac:dyDescent="0.2">
      <c r="A200" s="64">
        <f ca="1">IFERROR(__xludf.DUMMYFUNCTION("""COMPUTED_VALUE"""),11)</f>
        <v>11</v>
      </c>
      <c r="B200" s="64" t="str">
        <f ca="1">IFERROR(__xludf.DUMMYFUNCTION("""COMPUTED_VALUE"""),"Sweet Pea")</f>
        <v>Sweet Pea</v>
      </c>
      <c r="C200" s="64" t="str">
        <f ca="1">IFERROR(__xludf.DUMMYFUNCTION("""COMPUTED_VALUE"""),"Docervilha")</f>
        <v>Docervilha</v>
      </c>
      <c r="D200" s="64" t="str">
        <f ca="1">IFERROR(__xludf.DUMMYFUNCTION("""COMPUTED_VALUE"""),"Encanta")</f>
        <v>Encanta</v>
      </c>
      <c r="E200" s="64" t="str">
        <f ca="1">IFERROR(__xludf.DUMMYFUNCTION("""COMPUTED_VALUE"""),"Shoots candy at zombies")</f>
        <v>Shoots candy at zombies</v>
      </c>
      <c r="F200" s="64">
        <f ca="1">IFERROR(__xludf.DUMMYFUNCTION("""COMPUTED_VALUE"""),250)</f>
        <v>250</v>
      </c>
      <c r="G200" s="64">
        <f ca="1">IFERROR(__xludf.DUMMYFUNCTION("""COMPUTED_VALUE"""),300)</f>
        <v>300</v>
      </c>
      <c r="H200" s="64">
        <f ca="1">IFERROR(__xludf.DUMMYFUNCTION("""COMPUTED_VALUE"""),30)</f>
        <v>30</v>
      </c>
      <c r="I200" s="64">
        <f ca="1">IFERROR(__xludf.DUMMYFUNCTION("""COMPUTED_VALUE"""),10)</f>
        <v>10</v>
      </c>
      <c r="J200" s="64" t="str">
        <f ca="1">IFERROR(__xludf.DUMMYFUNCTION("""COMPUTED_VALUE"""),"No plant effect")</f>
        <v>No plant effect</v>
      </c>
      <c r="K200" s="64"/>
      <c r="L200" s="64"/>
      <c r="M200" s="64" t="b">
        <f ca="1">IFERROR(__xludf.DUMMYFUNCTION("""COMPUTED_VALUE"""),FALSE)</f>
        <v>0</v>
      </c>
      <c r="N200" s="64" t="b">
        <f ca="1">IFERROR(__xludf.DUMMYFUNCTION("""COMPUTED_VALUE"""),FALSE)</f>
        <v>0</v>
      </c>
      <c r="O200" s="64">
        <f ca="1">IFERROR(__xludf.DUMMYFUNCTION("""COMPUTED_VALUE"""),0)</f>
        <v>0</v>
      </c>
      <c r="P200" s="64" t="str">
        <f ca="1">IFERROR(__xludf.DUMMYFUNCTION("""COMPUTED_VALUE"""),"Legendary")</f>
        <v>Legendary</v>
      </c>
      <c r="Q200" s="64"/>
      <c r="R200" s="64" t="str">
        <f ca="1">IFERROR(__xludf.DUMMYFUNCTION("""COMPUTED_VALUE"""),"Pea")</f>
        <v>Pea</v>
      </c>
      <c r="S200" s="64" t="str">
        <f ca="1">IFERROR(__xludf.DUMMYFUNCTION("""COMPUTED_VALUE"""),"Adventure")</f>
        <v>Adventure</v>
      </c>
      <c r="T200" s="64" t="str">
        <f ca="1">IFERROR(__xludf.DUMMYFUNCTION("""COMPUTED_VALUE"""),"None")</f>
        <v>None</v>
      </c>
      <c r="U200" s="64" t="str">
        <f ca="1">IFERROR(__xludf.DUMMYFUNCTION("""COMPUTED_VALUE"""),"None")</f>
        <v>None</v>
      </c>
      <c r="V200" s="64" t="str">
        <f ca="1">IFERROR(__xludf.DUMMYFUNCTION("""COMPUTED_VALUE"""),"---")</f>
        <v>---</v>
      </c>
      <c r="W200" s="64" t="str">
        <f ca="1">IFERROR(__xludf.DUMMYFUNCTION("""COMPUTED_VALUE"""),"Ranged")</f>
        <v>Ranged</v>
      </c>
      <c r="X200" s="64" t="str">
        <f ca="1">IFERROR(__xludf.DUMMYFUNCTION("""COMPUTED_VALUE"""),"PvZ Heroes, PvZA")</f>
        <v>PvZ Heroes, PvZA</v>
      </c>
      <c r="Y200" s="65" t="str">
        <f ca="1">IFERROR(__xludf.DUMMYFUNCTION("""COMPUTED_VALUE"""),"https://static.wikia.nocookie.net/plantsvszombies/images/1/1e/Sweet_PeaA.png/revision/latest?cb=20130718044149")</f>
        <v>https://static.wikia.nocookie.net/plantsvszombies/images/1/1e/Sweet_PeaA.png/revision/latest?cb=20130718044149</v>
      </c>
    </row>
    <row r="201" spans="1:25" x14ac:dyDescent="0.2">
      <c r="A201" s="64">
        <f ca="1">IFERROR(__xludf.DUMMYFUNCTION("""COMPUTED_VALUE"""),12)</f>
        <v>12</v>
      </c>
      <c r="B201" s="64" t="str">
        <f ca="1">IFERROR(__xludf.DUMMYFUNCTION("""COMPUTED_VALUE"""),"Beeshooter")</f>
        <v>Beeshooter</v>
      </c>
      <c r="C201" s="64" t="str">
        <f ca="1">IFERROR(__xludf.DUMMYFUNCTION("""COMPUTED_VALUE"""),"Abelhervilha")</f>
        <v>Abelhervilha</v>
      </c>
      <c r="D201" s="64" t="str">
        <f ca="1">IFERROR(__xludf.DUMMYFUNCTION("""COMPUTED_VALUE"""),"Perfura")</f>
        <v>Perfura</v>
      </c>
      <c r="E201" s="64" t="str">
        <f ca="1">IFERROR(__xludf.DUMMYFUNCTION("""COMPUTED_VALUE"""),"BUZZZZ. Shoots bees at zombies")</f>
        <v>BUZZZZ. Shoots bees at zombies</v>
      </c>
      <c r="F201" s="64">
        <f ca="1">IFERROR(__xludf.DUMMYFUNCTION("""COMPUTED_VALUE"""),200)</f>
        <v>200</v>
      </c>
      <c r="G201" s="64">
        <f ca="1">IFERROR(__xludf.DUMMYFUNCTION("""COMPUTED_VALUE"""),300)</f>
        <v>300</v>
      </c>
      <c r="H201" s="64">
        <f ca="1">IFERROR(__xludf.DUMMYFUNCTION("""COMPUTED_VALUE"""),40)</f>
        <v>40</v>
      </c>
      <c r="I201" s="64">
        <f ca="1">IFERROR(__xludf.DUMMYFUNCTION("""COMPUTED_VALUE"""),40)</f>
        <v>40</v>
      </c>
      <c r="J201" s="64" t="str">
        <f ca="1">IFERROR(__xludf.DUMMYFUNCTION("""COMPUTED_VALUE"""),"No plant effect")</f>
        <v>No plant effect</v>
      </c>
      <c r="K201" s="64"/>
      <c r="L201" s="64"/>
      <c r="M201" s="64" t="b">
        <f ca="1">IFERROR(__xludf.DUMMYFUNCTION("""COMPUTED_VALUE"""),FALSE)</f>
        <v>0</v>
      </c>
      <c r="N201" s="64" t="b">
        <f ca="1">IFERROR(__xludf.DUMMYFUNCTION("""COMPUTED_VALUE"""),FALSE)</f>
        <v>0</v>
      </c>
      <c r="O201" s="64">
        <f ca="1">IFERROR(__xludf.DUMMYFUNCTION("""COMPUTED_VALUE"""),0)</f>
        <v>0</v>
      </c>
      <c r="P201" s="64" t="str">
        <f ca="1">IFERROR(__xludf.DUMMYFUNCTION("""COMPUTED_VALUE"""),"Legendary")</f>
        <v>Legendary</v>
      </c>
      <c r="Q201" s="64"/>
      <c r="R201" s="64" t="str">
        <f ca="1">IFERROR(__xludf.DUMMYFUNCTION("""COMPUTED_VALUE"""),"Pea")</f>
        <v>Pea</v>
      </c>
      <c r="S201" s="64" t="str">
        <f ca="1">IFERROR(__xludf.DUMMYFUNCTION("""COMPUTED_VALUE"""),"Adventure")</f>
        <v>Adventure</v>
      </c>
      <c r="T201" s="64" t="str">
        <f ca="1">IFERROR(__xludf.DUMMYFUNCTION("""COMPUTED_VALUE"""),"None")</f>
        <v>None</v>
      </c>
      <c r="U201" s="64" t="str">
        <f ca="1">IFERROR(__xludf.DUMMYFUNCTION("""COMPUTED_VALUE"""),"None")</f>
        <v>None</v>
      </c>
      <c r="V201" s="64" t="str">
        <f ca="1">IFERROR(__xludf.DUMMYFUNCTION("""COMPUTED_VALUE"""),"---")</f>
        <v>---</v>
      </c>
      <c r="W201" s="64" t="str">
        <f ca="1">IFERROR(__xludf.DUMMYFUNCTION("""COMPUTED_VALUE"""),"Ranged")</f>
        <v>Ranged</v>
      </c>
      <c r="X201" s="64" t="str">
        <f ca="1">IFERROR(__xludf.DUMMYFUNCTION("""COMPUTED_VALUE"""),"PvZA")</f>
        <v>PvZA</v>
      </c>
      <c r="Y201" s="65" t="str">
        <f ca="1">IFERROR(__xludf.DUMMYFUNCTION("""COMPUTED_VALUE"""),"https://static.wikia.nocookie.net/plantsvszombies/images/0/04/BeeshooterA.png/revision/latest?cb=20130521192003")</f>
        <v>https://static.wikia.nocookie.net/plantsvszombies/images/0/04/BeeshooterA.png/revision/latest?cb=20130521192003</v>
      </c>
    </row>
    <row r="202" spans="1:25" x14ac:dyDescent="0.2">
      <c r="A202" s="64">
        <f ca="1">IFERROR(__xludf.DUMMYFUNCTION("""COMPUTED_VALUE"""),13)</f>
        <v>13</v>
      </c>
      <c r="B202" s="64" t="str">
        <f ca="1">IFERROR(__xludf.DUMMYFUNCTION("""COMPUTED_VALUE"""),"Bamboo shots")</f>
        <v>Bamboo shots</v>
      </c>
      <c r="C202" s="64" t="str">
        <f ca="1">IFERROR(__xludf.DUMMYFUNCTION("""COMPUTED_VALUE"""),"Bambu Gêmeos")</f>
        <v>Bambu Gêmeos</v>
      </c>
      <c r="D202" s="64" t="str">
        <f ca="1">IFERROR(__xludf.DUMMYFUNCTION("""COMPUTED_VALUE"""),"Dispara")</f>
        <v>Dispara</v>
      </c>
      <c r="E202" s="64" t="str">
        <f ca="1">IFERROR(__xludf.DUMMYFUNCTION("""COMPUTED_VALUE"""),"Dispara um projétil poderoso com grande intervalo.")</f>
        <v>Dispara um projétil poderoso com grande intervalo.</v>
      </c>
      <c r="F202" s="64">
        <f ca="1">IFERROR(__xludf.DUMMYFUNCTION("""COMPUTED_VALUE"""),125)</f>
        <v>125</v>
      </c>
      <c r="G202" s="64">
        <f ca="1">IFERROR(__xludf.DUMMYFUNCTION("""COMPUTED_VALUE"""),300)</f>
        <v>300</v>
      </c>
      <c r="H202" s="64">
        <f ca="1">IFERROR(__xludf.DUMMYFUNCTION("""COMPUTED_VALUE"""),100)</f>
        <v>100</v>
      </c>
      <c r="I202" s="64">
        <f ca="1">IFERROR(__xludf.DUMMYFUNCTION("""COMPUTED_VALUE"""),5)</f>
        <v>5</v>
      </c>
      <c r="J202" s="64" t="str">
        <f ca="1">IFERROR(__xludf.DUMMYFUNCTION("""COMPUTED_VALUE"""),"No plant effect")</f>
        <v>No plant effect</v>
      </c>
      <c r="K202" s="64"/>
      <c r="L202" s="64"/>
      <c r="M202" s="64" t="b">
        <f ca="1">IFERROR(__xludf.DUMMYFUNCTION("""COMPUTED_VALUE"""),FALSE)</f>
        <v>0</v>
      </c>
      <c r="N202" s="64" t="b">
        <f ca="1">IFERROR(__xludf.DUMMYFUNCTION("""COMPUTED_VALUE"""),FALSE)</f>
        <v>0</v>
      </c>
      <c r="O202" s="64">
        <f ca="1">IFERROR(__xludf.DUMMYFUNCTION("""COMPUTED_VALUE"""),0)</f>
        <v>0</v>
      </c>
      <c r="P202" s="64" t="str">
        <f ca="1">IFERROR(__xludf.DUMMYFUNCTION("""COMPUTED_VALUE"""),"Common")</f>
        <v>Common</v>
      </c>
      <c r="Q202" s="64" t="str">
        <f ca="1">IFERROR(__xludf.DUMMYFUNCTION("""COMPUTED_VALUE"""),"area-effect")</f>
        <v>area-effect</v>
      </c>
      <c r="R202" s="64" t="str">
        <f ca="1">IFERROR(__xludf.DUMMYFUNCTION("""COMPUTED_VALUE"""),"Leaf")</f>
        <v>Leaf</v>
      </c>
      <c r="S202" s="64" t="str">
        <f ca="1">IFERROR(__xludf.DUMMYFUNCTION("""COMPUTED_VALUE"""),"Attack_zumburbia")</f>
        <v>Attack_zumburbia</v>
      </c>
      <c r="T202" s="64" t="str">
        <f ca="1">IFERROR(__xludf.DUMMYFUNCTION("""COMPUTED_VALUE"""),"None")</f>
        <v>None</v>
      </c>
      <c r="U202" s="64" t="str">
        <f ca="1">IFERROR(__xludf.DUMMYFUNCTION("""COMPUTED_VALUE"""),"50")</f>
        <v>50</v>
      </c>
      <c r="V202" s="64" t="str">
        <f ca="1">IFERROR(__xludf.DUMMYFUNCTION("""COMPUTED_VALUE"""),"---")</f>
        <v>---</v>
      </c>
      <c r="W202" s="64" t="str">
        <f ca="1">IFERROR(__xludf.DUMMYFUNCTION("""COMPUTED_VALUE"""),"Ranged")</f>
        <v>Ranged</v>
      </c>
      <c r="X202" s="64" t="str">
        <f ca="1">IFERROR(__xludf.DUMMYFUNCTION("""COMPUTED_VALUE"""),"PvZ 3")</f>
        <v>PvZ 3</v>
      </c>
      <c r="Y202" s="65" t="str">
        <f ca="1">IFERROR(__xludf.DUMMYFUNCTION("""COMPUTED_VALUE"""),"https://static.wikia.nocookie.net/plantsvszombies/images/8/84/Bamboo_Shoots3.png/revision/latest/scale-to-width-down/48?cb=20220505145717")</f>
        <v>https://static.wikia.nocookie.net/plantsvszombies/images/8/84/Bamboo_Shoots3.png/revision/latest/scale-to-width-down/48?cb=20220505145717</v>
      </c>
    </row>
    <row r="203" spans="1:25" x14ac:dyDescent="0.2">
      <c r="A203" s="64">
        <f ca="1">IFERROR(__xludf.DUMMYFUNCTION("""COMPUTED_VALUE"""),14)</f>
        <v>14</v>
      </c>
      <c r="B203" s="64" t="str">
        <f ca="1">IFERROR(__xludf.DUMMYFUNCTION("""COMPUTED_VALUE"""),"Lychee")</f>
        <v>Lychee</v>
      </c>
      <c r="C203" s="64" t="str">
        <f ca="1">IFERROR(__xludf.DUMMYFUNCTION("""COMPUTED_VALUE"""),"Lichia")</f>
        <v>Lichia</v>
      </c>
      <c r="D203" s="64" t="str">
        <f ca="1">IFERROR(__xludf.DUMMYFUNCTION("""COMPUTED_VALUE"""),"Endurecida")</f>
        <v>Endurecida</v>
      </c>
      <c r="E203" s="64" t="str">
        <f ca="1">IFERROR(__xludf.DUMMYFUNCTION("""COMPUTED_VALUE"""),"Quando é atacado, dispara espinhos que golpeiam em todas as direções.")</f>
        <v>Quando é atacado, dispara espinhos que golpeiam em todas as direções.</v>
      </c>
      <c r="F203" s="64">
        <f ca="1">IFERROR(__xludf.DUMMYFUNCTION("""COMPUTED_VALUE"""),50)</f>
        <v>50</v>
      </c>
      <c r="G203" s="64">
        <f ca="1">IFERROR(__xludf.DUMMYFUNCTION("""COMPUTED_VALUE"""),2500)</f>
        <v>2500</v>
      </c>
      <c r="H203" s="64">
        <f ca="1">IFERROR(__xludf.DUMMYFUNCTION("""COMPUTED_VALUE"""),20)</f>
        <v>20</v>
      </c>
      <c r="I203" s="64">
        <f ca="1">IFERROR(__xludf.DUMMYFUNCTION("""COMPUTED_VALUE"""),10)</f>
        <v>10</v>
      </c>
      <c r="J203" s="64" t="str">
        <f ca="1">IFERROR(__xludf.DUMMYFUNCTION("""COMPUTED_VALUE"""),"No plant effect")</f>
        <v>No plant effect</v>
      </c>
      <c r="K203" s="64"/>
      <c r="L203" s="64"/>
      <c r="M203" s="64" t="b">
        <f ca="1">IFERROR(__xludf.DUMMYFUNCTION("""COMPUTED_VALUE"""),FALSE)</f>
        <v>0</v>
      </c>
      <c r="N203" s="64" t="b">
        <f ca="1">IFERROR(__xludf.DUMMYFUNCTION("""COMPUTED_VALUE"""),FALSE)</f>
        <v>0</v>
      </c>
      <c r="O203" s="64">
        <f ca="1">IFERROR(__xludf.DUMMYFUNCTION("""COMPUTED_VALUE"""),0)</f>
        <v>0</v>
      </c>
      <c r="P203" s="64" t="str">
        <f ca="1">IFERROR(__xludf.DUMMYFUNCTION("""COMPUTED_VALUE"""),"Uncommon")</f>
        <v>Uncommon</v>
      </c>
      <c r="Q203" s="64" t="str">
        <f ca="1">IFERROR(__xludf.DUMMYFUNCTION("""COMPUTED_VALUE"""),"area-effect")</f>
        <v>area-effect</v>
      </c>
      <c r="R203" s="64" t="str">
        <f ca="1">IFERROR(__xludf.DUMMYFUNCTION("""COMPUTED_VALUE"""),"Fruit")</f>
        <v>Fruit</v>
      </c>
      <c r="S203" s="64" t="str">
        <f ca="1">IFERROR(__xludf.DUMMYFUNCTION("""COMPUTED_VALUE"""),"Attack_zumburbia")</f>
        <v>Attack_zumburbia</v>
      </c>
      <c r="T203" s="64" t="str">
        <f ca="1">IFERROR(__xludf.DUMMYFUNCTION("""COMPUTED_VALUE"""),"None")</f>
        <v>None</v>
      </c>
      <c r="U203" s="64" t="str">
        <f ca="1">IFERROR(__xludf.DUMMYFUNCTION("""COMPUTED_VALUE"""),"None")</f>
        <v>None</v>
      </c>
      <c r="V203" s="64" t="str">
        <f ca="1">IFERROR(__xludf.DUMMYFUNCTION("""COMPUTED_VALUE"""),"---")</f>
        <v>---</v>
      </c>
      <c r="W203" s="64" t="str">
        <f ca="1">IFERROR(__xludf.DUMMYFUNCTION("""COMPUTED_VALUE"""),"Tough")</f>
        <v>Tough</v>
      </c>
      <c r="X203" s="64" t="str">
        <f ca="1">IFERROR(__xludf.DUMMYFUNCTION("""COMPUTED_VALUE"""),"PvZ 3")</f>
        <v>PvZ 3</v>
      </c>
      <c r="Y203" s="65" t="str">
        <f ca="1">IFERROR(__xludf.DUMMYFUNCTION("""COMPUTED_VALUE"""),"https://static.wikia.nocookie.net/plantsvszombies/images/9/9d/Lychee3.png/revision/latest/scale-to-width-down/48?cb=20241119002150")</f>
        <v>https://static.wikia.nocookie.net/plantsvszombies/images/9/9d/Lychee3.png/revision/latest/scale-to-width-down/48?cb=20241119002150</v>
      </c>
    </row>
    <row r="204" spans="1:25" x14ac:dyDescent="0.2">
      <c r="A204" s="64">
        <f ca="1">IFERROR(__xludf.DUMMYFUNCTION("""COMPUTED_VALUE"""),15)</f>
        <v>15</v>
      </c>
      <c r="B204" s="64" t="str">
        <f ca="1">IFERROR(__xludf.DUMMYFUNCTION("""COMPUTED_VALUE"""),"SilverSword")</f>
        <v>SilverSword</v>
      </c>
      <c r="C204" s="64" t="str">
        <f ca="1">IFERROR(__xludf.DUMMYFUNCTION("""COMPUTED_VALUE"""),"Lamina Prateada")</f>
        <v>Lamina Prateada</v>
      </c>
      <c r="D204" s="64" t="str">
        <f ca="1">IFERROR(__xludf.DUMMYFUNCTION("""COMPUTED_VALUE"""),"Surra")</f>
        <v>Surra</v>
      </c>
      <c r="E204" s="64" t="str">
        <f ca="1">IFERROR(__xludf.DUMMYFUNCTION("""COMPUTED_VALUE"""),"Golpeia os zumbis próximos com golpes giratórios.")</f>
        <v>Golpeia os zumbis próximos com golpes giratórios.</v>
      </c>
      <c r="F204" s="64">
        <f ca="1">IFERROR(__xludf.DUMMYFUNCTION("""COMPUTED_VALUE"""),75)</f>
        <v>75</v>
      </c>
      <c r="G204" s="64">
        <f ca="1">IFERROR(__xludf.DUMMYFUNCTION("""COMPUTED_VALUE"""),300)</f>
        <v>300</v>
      </c>
      <c r="H204" s="64">
        <f ca="1">IFERROR(__xludf.DUMMYFUNCTION("""COMPUTED_VALUE"""),30)</f>
        <v>30</v>
      </c>
      <c r="I204" s="64">
        <f ca="1">IFERROR(__xludf.DUMMYFUNCTION("""COMPUTED_VALUE"""),5)</f>
        <v>5</v>
      </c>
      <c r="J204" s="64" t="str">
        <f ca="1">IFERROR(__xludf.DUMMYFUNCTION("""COMPUTED_VALUE"""),"No plant effect")</f>
        <v>No plant effect</v>
      </c>
      <c r="K204" s="64"/>
      <c r="L204" s="64"/>
      <c r="M204" s="64" t="b">
        <f ca="1">IFERROR(__xludf.DUMMYFUNCTION("""COMPUTED_VALUE"""),FALSE)</f>
        <v>0</v>
      </c>
      <c r="N204" s="64" t="b">
        <f ca="1">IFERROR(__xludf.DUMMYFUNCTION("""COMPUTED_VALUE"""),FALSE)</f>
        <v>0</v>
      </c>
      <c r="O204" s="64">
        <f ca="1">IFERROR(__xludf.DUMMYFUNCTION("""COMPUTED_VALUE"""),0)</f>
        <v>0</v>
      </c>
      <c r="P204" s="64" t="str">
        <f ca="1">IFERROR(__xludf.DUMMYFUNCTION("""COMPUTED_VALUE"""),"Rare")</f>
        <v>Rare</v>
      </c>
      <c r="Q204" s="64" t="str">
        <f ca="1">IFERROR(__xludf.DUMMYFUNCTION("""COMPUTED_VALUE"""),"area-effect")</f>
        <v>area-effect</v>
      </c>
      <c r="R204" s="64" t="str">
        <f ca="1">IFERROR(__xludf.DUMMYFUNCTION("""COMPUTED_VALUE"""),"Leaf")</f>
        <v>Leaf</v>
      </c>
      <c r="S204" s="64" t="str">
        <f ca="1">IFERROR(__xludf.DUMMYFUNCTION("""COMPUTED_VALUE"""),"Attack_zumburbia")</f>
        <v>Attack_zumburbia</v>
      </c>
      <c r="T204" s="64" t="str">
        <f ca="1">IFERROR(__xludf.DUMMYFUNCTION("""COMPUTED_VALUE"""),"None")</f>
        <v>None</v>
      </c>
      <c r="U204" s="64" t="str">
        <f ca="1">IFERROR(__xludf.DUMMYFUNCTION("""COMPUTED_VALUE"""),"None")</f>
        <v>None</v>
      </c>
      <c r="V204" s="64" t="str">
        <f ca="1">IFERROR(__xludf.DUMMYFUNCTION("""COMPUTED_VALUE"""),"---")</f>
        <v>---</v>
      </c>
      <c r="W204" s="64" t="str">
        <f ca="1">IFERROR(__xludf.DUMMYFUNCTION("""COMPUTED_VALUE"""),"Vanguard")</f>
        <v>Vanguard</v>
      </c>
      <c r="X204" s="64" t="str">
        <f ca="1">IFERROR(__xludf.DUMMYFUNCTION("""COMPUTED_VALUE"""),"PvZ 3")</f>
        <v>PvZ 3</v>
      </c>
      <c r="Y204" s="65" t="str">
        <f ca="1">IFERROR(__xludf.DUMMYFUNCTION("""COMPUTED_VALUE"""),"https://static.wikia.nocookie.net/plantsvszombies/images/7/7e/Silversword3.png/revision/latest/scale-to-width-down/48?cb=20220406055054")</f>
        <v>https://static.wikia.nocookie.net/plantsvszombies/images/7/7e/Silversword3.png/revision/latest/scale-to-width-down/48?cb=20220406055054</v>
      </c>
    </row>
    <row r="205" spans="1:25" x14ac:dyDescent="0.2">
      <c r="A205" s="64">
        <f ca="1">IFERROR(__xludf.DUMMYFUNCTION("QUERY(Chinese_Database!2:121)"),1)</f>
        <v>1</v>
      </c>
      <c r="B205" s="64" t="str">
        <f ca="1">IFERROR(__xludf.DUMMYFUNCTION("""COMPUTED_VALUE"""),"Resistant Radish")</f>
        <v>Resistant Radish</v>
      </c>
      <c r="C205" s="64" t="str">
        <f ca="1">IFERROR(__xludf.DUMMYFUNCTION("""COMPUTED_VALUE"""),"Rabanete Resistente")</f>
        <v>Rabanete Resistente</v>
      </c>
      <c r="D205" s="64" t="str">
        <f ca="1">IFERROR(__xludf.DUMMYFUNCTION("""COMPUTED_VALUE"""),"Endurecida")</f>
        <v>Endurecida</v>
      </c>
      <c r="E205" s="64" t="str">
        <f ca="1">IFERROR(__xludf.DUMMYFUNCTION("""COMPUTED_VALUE"""),"Protege e não pode ser movido.")</f>
        <v>Protege e não pode ser movido.</v>
      </c>
      <c r="F205" s="64">
        <f ca="1">IFERROR(__xludf.DUMMYFUNCTION("""COMPUTED_VALUE"""),50)</f>
        <v>50</v>
      </c>
      <c r="G205" s="64">
        <f ca="1">IFERROR(__xludf.DUMMYFUNCTION("""COMPUTED_VALUE"""),2000)</f>
        <v>2000</v>
      </c>
      <c r="H205" s="64">
        <f ca="1">IFERROR(__xludf.DUMMYFUNCTION("""COMPUTED_VALUE"""),0)</f>
        <v>0</v>
      </c>
      <c r="I205" s="64">
        <f ca="1">IFERROR(__xludf.DUMMYFUNCTION("""COMPUTED_VALUE"""),10)</f>
        <v>10</v>
      </c>
      <c r="J205" s="64" t="str">
        <f ca="1">IFERROR(__xludf.DUMMYFUNCTION("""COMPUTED_VALUE"""),"Resistant Radish immediately places another Resistant Radish on an empty tile on the lawn, prioritizing rows with no Resistant Radishes.")</f>
        <v>Resistant Radish immediately places another Resistant Radish on an empty tile on the lawn, prioritizing rows with no Resistant Radishes.</v>
      </c>
      <c r="K205" s="64"/>
      <c r="L205" s="64"/>
      <c r="M205" s="64" t="b">
        <f ca="1">IFERROR(__xludf.DUMMYFUNCTION("""COMPUTED_VALUE"""),FALSE)</f>
        <v>0</v>
      </c>
      <c r="N205" s="64" t="b">
        <f ca="1">IFERROR(__xludf.DUMMYFUNCTION("""COMPUTED_VALUE"""),FALSE)</f>
        <v>0</v>
      </c>
      <c r="O205" s="64">
        <f ca="1">IFERROR(__xludf.DUMMYFUNCTION("""COMPUTED_VALUE"""),0)</f>
        <v>0</v>
      </c>
      <c r="P205" s="64" t="str">
        <f ca="1">IFERROR(__xludf.DUMMYFUNCTION("""COMPUTED_VALUE"""),"Common")</f>
        <v>Common</v>
      </c>
      <c r="Q205" s="64"/>
      <c r="R205" s="64" t="str">
        <f ca="1">IFERROR(__xludf.DUMMYFUNCTION("""COMPUTED_VALUE"""),"Root")</f>
        <v>Root</v>
      </c>
      <c r="S205" s="64" t="str">
        <f ca="1">IFERROR(__xludf.DUMMYFUNCTION("""COMPUTED_VALUE"""),"Chinese Natural")</f>
        <v>Chinese Natural</v>
      </c>
      <c r="T205" s="64" t="str">
        <f ca="1">IFERROR(__xludf.DUMMYFUNCTION("""COMPUTED_VALUE"""),"None")</f>
        <v>None</v>
      </c>
      <c r="U205" s="64" t="str">
        <f ca="1">IFERROR(__xludf.DUMMYFUNCTION("""COMPUTED_VALUE"""),"None")</f>
        <v>None</v>
      </c>
      <c r="V205" s="64" t="str">
        <f ca="1">IFERROR(__xludf.DUMMYFUNCTION("""COMPUTED_VALUE"""),"turnip")</f>
        <v>turnip</v>
      </c>
      <c r="W205" s="64" t="str">
        <f ca="1">IFERROR(__xludf.DUMMYFUNCTION("""COMPUTED_VALUE"""),"Tough")</f>
        <v>Tough</v>
      </c>
      <c r="X205" s="64" t="str">
        <f ca="1">IFERROR(__xludf.DUMMYFUNCTION("""COMPUTED_VALUE"""),"PvZ 2 Chinease")</f>
        <v>PvZ 2 Chinease</v>
      </c>
      <c r="Y205" s="65" t="str">
        <f ca="1">IFERROR(__xludf.DUMMYFUNCTION("""COMPUTED_VALUE"""),"https://static.wikia.nocookie.net/plantsvszombies/images/7/72/Resistant_Radish2.png/revision/latest?cb=20150805183002")</f>
        <v>https://static.wikia.nocookie.net/plantsvszombies/images/7/72/Resistant_Radish2.png/revision/latest?cb=20150805183002</v>
      </c>
    </row>
    <row r="206" spans="1:25" x14ac:dyDescent="0.2">
      <c r="A206" s="64">
        <f ca="1">IFERROR(__xludf.DUMMYFUNCTION("""COMPUTED_VALUE"""),2)</f>
        <v>2</v>
      </c>
      <c r="B206" s="64" t="str">
        <f ca="1">IFERROR(__xludf.DUMMYFUNCTION("""COMPUTED_VALUE"""),"Fire Gourd")</f>
        <v>Fire Gourd</v>
      </c>
      <c r="C206" s="64" t="str">
        <f ca="1">IFERROR(__xludf.DUMMYFUNCTION("""COMPUTED_VALUE"""),"Cabaça de Fogo")</f>
        <v>Cabaça de Fogo</v>
      </c>
      <c r="D206" s="64" t="str">
        <f ca="1">IFERROR(__xludf.DUMMYFUNCTION("""COMPUTED_VALUE"""),"Aquecida")</f>
        <v>Aquecida</v>
      </c>
      <c r="E206" s="64" t="str">
        <f ca="1">IFERROR(__xludf.DUMMYFUNCTION("""COMPUTED_VALUE"""),"Lança chamas em uma distancia curta, depois precisa dormir para recarregar.")</f>
        <v>Lança chamas em uma distancia curta, depois precisa dormir para recarregar.</v>
      </c>
      <c r="F206" s="64">
        <f ca="1">IFERROR(__xludf.DUMMYFUNCTION("""COMPUTED_VALUE"""),200)</f>
        <v>200</v>
      </c>
      <c r="G206" s="64">
        <f ca="1">IFERROR(__xludf.DUMMYFUNCTION("""COMPUTED_VALUE"""),300)</f>
        <v>300</v>
      </c>
      <c r="H206" s="64">
        <f ca="1">IFERROR(__xludf.DUMMYFUNCTION("""COMPUTED_VALUE"""),315)</f>
        <v>315</v>
      </c>
      <c r="I206" s="64">
        <f ca="1">IFERROR(__xludf.DUMMYFUNCTION("""COMPUTED_VALUE"""),5)</f>
        <v>5</v>
      </c>
      <c r="J206" s="64" t="str">
        <f ca="1">IFERROR(__xludf.DUMMYFUNCTION("""COMPUTED_VALUE"""),"Fire Gourd breathes a high-damage flame at the lane, rests afterwards.")</f>
        <v>Fire Gourd breathes a high-damage flame at the lane, rests afterwards.</v>
      </c>
      <c r="K206" s="64"/>
      <c r="L206" s="64" t="str">
        <f ca="1">IFERROR(__xludf.DUMMYFUNCTION("""COMPUTED_VALUE"""),"Special - The longer time charged, the stronger the fire is, anti-weapon stands")</f>
        <v>Special - The longer time charged, the stronger the fire is, anti-weapon stands</v>
      </c>
      <c r="M206" s="64" t="b">
        <f ca="1">IFERROR(__xludf.DUMMYFUNCTION("""COMPUTED_VALUE"""),FALSE)</f>
        <v>0</v>
      </c>
      <c r="N206" s="64" t="b">
        <f ca="1">IFERROR(__xludf.DUMMYFUNCTION("""COMPUTED_VALUE"""),FALSE)</f>
        <v>0</v>
      </c>
      <c r="O206" s="64">
        <f ca="1">IFERROR(__xludf.DUMMYFUNCTION("""COMPUTED_VALUE"""),0)</f>
        <v>0</v>
      </c>
      <c r="P206" s="64" t="str">
        <f ca="1">IFERROR(__xludf.DUMMYFUNCTION("""COMPUTED_VALUE"""),"Common")</f>
        <v>Common</v>
      </c>
      <c r="Q206" s="64" t="str">
        <f ca="1">IFERROR(__xludf.DUMMYFUNCTION("""COMPUTED_VALUE"""),"manual, area-effect")</f>
        <v>manual, area-effect</v>
      </c>
      <c r="R206" s="64" t="str">
        <f ca="1">IFERROR(__xludf.DUMMYFUNCTION("""COMPUTED_VALUE"""),"Fruit")</f>
        <v>Fruit</v>
      </c>
      <c r="S206" s="64" t="str">
        <f ca="1">IFERROR(__xludf.DUMMYFUNCTION("""COMPUTED_VALUE"""),"Chinese Natural")</f>
        <v>Chinese Natural</v>
      </c>
      <c r="T206" s="64" t="str">
        <f ca="1">IFERROR(__xludf.DUMMYFUNCTION("""COMPUTED_VALUE"""),"None")</f>
        <v>None</v>
      </c>
      <c r="U206" s="64" t="str">
        <f ca="1">IFERROR(__xludf.DUMMYFUNCTION("""COMPUTED_VALUE"""),"None")</f>
        <v>None</v>
      </c>
      <c r="V206" s="64" t="str">
        <f ca="1">IFERROR(__xludf.DUMMYFUNCTION("""COMPUTED_VALUE"""),"firegourd")</f>
        <v>firegourd</v>
      </c>
      <c r="W206" s="64" t="str">
        <f ca="1">IFERROR(__xludf.DUMMYFUNCTION("""COMPUTED_VALUE"""),"Vanguard")</f>
        <v>Vanguard</v>
      </c>
      <c r="X206" s="64" t="str">
        <f ca="1">IFERROR(__xludf.DUMMYFUNCTION("""COMPUTED_VALUE"""),"PvZ 2 Chinease")</f>
        <v>PvZ 2 Chinease</v>
      </c>
      <c r="Y206" s="65" t="str">
        <f ca="1">IFERROR(__xludf.DUMMYFUNCTION("""COMPUTED_VALUE"""),"https://static.wikia.nocookie.net/plantsvszombies/images/6/6e/Fire_Gourd2.png/revision/latest?cb=20230918030431")</f>
        <v>https://static.wikia.nocookie.net/plantsvszombies/images/6/6e/Fire_Gourd2.png/revision/latest?cb=20230918030431</v>
      </c>
    </row>
    <row r="207" spans="1:25" x14ac:dyDescent="0.2">
      <c r="A207" s="64">
        <f ca="1">IFERROR(__xludf.DUMMYFUNCTION("""COMPUTED_VALUE"""),3)</f>
        <v>3</v>
      </c>
      <c r="B207" s="64" t="str">
        <f ca="1">IFERROR(__xludf.DUMMYFUNCTION("""COMPUTED_VALUE"""),"Heavenly Peach")</f>
        <v>Heavenly Peach</v>
      </c>
      <c r="C207" s="64" t="str">
        <f ca="1">IFERROR(__xludf.DUMMYFUNCTION("""COMPUTED_VALUE"""),"Pêssego celestial")</f>
        <v>Pêssego celestial</v>
      </c>
      <c r="D207" s="64" t="str">
        <f ca="1">IFERROR(__xludf.DUMMYFUNCTION("""COMPUTED_VALUE"""),"Endurecida")</f>
        <v>Endurecida</v>
      </c>
      <c r="E207" s="64" t="str">
        <f ca="1">IFERROR(__xludf.DUMMYFUNCTION("""COMPUTED_VALUE"""),"Cura outras plantas ao redor")</f>
        <v>Cura outras plantas ao redor</v>
      </c>
      <c r="F207" s="64">
        <f ca="1">IFERROR(__xludf.DUMMYFUNCTION("""COMPUTED_VALUE"""),125)</f>
        <v>125</v>
      </c>
      <c r="G207" s="64">
        <f ca="1">IFERROR(__xludf.DUMMYFUNCTION("""COMPUTED_VALUE"""),300)</f>
        <v>300</v>
      </c>
      <c r="H207" s="64">
        <f ca="1">IFERROR(__xludf.DUMMYFUNCTION("""COMPUTED_VALUE"""),0)</f>
        <v>0</v>
      </c>
      <c r="I207" s="64">
        <f ca="1">IFERROR(__xludf.DUMMYFUNCTION("""COMPUTED_VALUE"""),5)</f>
        <v>5</v>
      </c>
      <c r="J207" s="64" t="str">
        <f ca="1">IFERROR(__xludf.DUMMYFUNCTION("""COMPUTED_VALUE"""),"Blesses plants in a 3×3 area, making them invincible for 5 seconds.")</f>
        <v>Blesses plants in a 3×3 area, making them invincible for 5 seconds.</v>
      </c>
      <c r="K207" s="64" t="str">
        <f ca="1">IFERROR(__xludf.DUMMYFUNCTION("""COMPUTED_VALUE"""),"effect in 3x3 area")</f>
        <v>effect in 3x3 area</v>
      </c>
      <c r="L207" s="64"/>
      <c r="M207" s="64" t="b">
        <f ca="1">IFERROR(__xludf.DUMMYFUNCTION("""COMPUTED_VALUE"""),FALSE)</f>
        <v>0</v>
      </c>
      <c r="N207" s="64" t="b">
        <f ca="1">IFERROR(__xludf.DUMMYFUNCTION("""COMPUTED_VALUE"""),FALSE)</f>
        <v>0</v>
      </c>
      <c r="O207" s="64">
        <f ca="1">IFERROR(__xludf.DUMMYFUNCTION("""COMPUTED_VALUE"""),0)</f>
        <v>0</v>
      </c>
      <c r="P207" s="64" t="str">
        <f ca="1">IFERROR(__xludf.DUMMYFUNCTION("""COMPUTED_VALUE"""),"Common")</f>
        <v>Common</v>
      </c>
      <c r="Q207" s="64" t="str">
        <f ca="1">IFERROR(__xludf.DUMMYFUNCTION("""COMPUTED_VALUE"""),"heals, area-effect")</f>
        <v>heals, area-effect</v>
      </c>
      <c r="R207" s="64" t="str">
        <f ca="1">IFERROR(__xludf.DUMMYFUNCTION("""COMPUTED_VALUE"""),"Fruit")</f>
        <v>Fruit</v>
      </c>
      <c r="S207" s="64" t="str">
        <f ca="1">IFERROR(__xludf.DUMMYFUNCTION("""COMPUTED_VALUE"""),"Chinese Natural")</f>
        <v>Chinese Natural</v>
      </c>
      <c r="T207" s="64" t="str">
        <f ca="1">IFERROR(__xludf.DUMMYFUNCTION("""COMPUTED_VALUE"""),"None")</f>
        <v>None</v>
      </c>
      <c r="U207" s="64" t="str">
        <f ca="1">IFERROR(__xludf.DUMMYFUNCTION("""COMPUTED_VALUE"""),"None")</f>
        <v>None</v>
      </c>
      <c r="V207" s="64" t="str">
        <f ca="1">IFERROR(__xludf.DUMMYFUNCTION("""COMPUTED_VALUE"""),"peach")</f>
        <v>peach</v>
      </c>
      <c r="W207" s="64" t="str">
        <f ca="1">IFERROR(__xludf.DUMMYFUNCTION("""COMPUTED_VALUE"""),"Support")</f>
        <v>Support</v>
      </c>
      <c r="X207" s="64" t="str">
        <f ca="1">IFERROR(__xludf.DUMMYFUNCTION("""COMPUTED_VALUE"""),"PvZ 2 Chinease")</f>
        <v>PvZ 2 Chinease</v>
      </c>
      <c r="Y207" s="65" t="str">
        <f ca="1">IFERROR(__xludf.DUMMYFUNCTION("""COMPUTED_VALUE"""),"https://static.wikia.nocookie.net/plantsvszombies/images/5/54/Heavenly_Peach2.png/revision/latest?cb=20230402051504")</f>
        <v>https://static.wikia.nocookie.net/plantsvszombies/images/5/54/Heavenly_Peach2.png/revision/latest?cb=20230402051504</v>
      </c>
    </row>
    <row r="208" spans="1:25" x14ac:dyDescent="0.2">
      <c r="A208" s="64">
        <f ca="1">IFERROR(__xludf.DUMMYFUNCTION("""COMPUTED_VALUE"""),4)</f>
        <v>4</v>
      </c>
      <c r="B208" s="64" t="str">
        <f ca="1">IFERROR(__xludf.DUMMYFUNCTION("""COMPUTED_VALUE"""),"Bamboo Shoot")</f>
        <v>Bamboo Shoot</v>
      </c>
      <c r="C208" s="64" t="str">
        <f ca="1">IFERROR(__xludf.DUMMYFUNCTION("""COMPUTED_VALUE"""),"Tiro de bambu")</f>
        <v>Tiro de bambu</v>
      </c>
      <c r="D208" s="64" t="str">
        <f ca="1">IFERROR(__xludf.DUMMYFUNCTION("""COMPUTED_VALUE"""),"Surra")</f>
        <v>Surra</v>
      </c>
      <c r="E208" s="64" t="str">
        <f ca="1">IFERROR(__xludf.DUMMYFUNCTION("""COMPUTED_VALUE"""),"Ataca zumbis em até 4 colunas a frente")</f>
        <v>Ataca zumbis em até 4 colunas a frente</v>
      </c>
      <c r="F208" s="64">
        <f ca="1">IFERROR(__xludf.DUMMYFUNCTION("""COMPUTED_VALUE"""),175)</f>
        <v>175</v>
      </c>
      <c r="G208" s="64">
        <f ca="1">IFERROR(__xludf.DUMMYFUNCTION("""COMPUTED_VALUE"""),300)</f>
        <v>300</v>
      </c>
      <c r="H208" s="64">
        <f ca="1">IFERROR(__xludf.DUMMYFUNCTION("""COMPUTED_VALUE"""),15)</f>
        <v>15</v>
      </c>
      <c r="I208" s="64">
        <f ca="1">IFERROR(__xludf.DUMMYFUNCTION("""COMPUTED_VALUE"""),5)</f>
        <v>5</v>
      </c>
      <c r="J208" s="64" t="str">
        <f ca="1">IFERROR(__xludf.DUMMYFUNCTION("""COMPUTED_VALUE"""),"Bamboo Shoot digs into the ground, attacking by spiking out massive bamboo shoots under 4 zombies.")</f>
        <v>Bamboo Shoot digs into the ground, attacking by spiking out massive bamboo shoots under 4 zombies.</v>
      </c>
      <c r="K208" s="64"/>
      <c r="L208" s="64"/>
      <c r="M208" s="64" t="b">
        <f ca="1">IFERROR(__xludf.DUMMYFUNCTION("""COMPUTED_VALUE"""),FALSE)</f>
        <v>0</v>
      </c>
      <c r="N208" s="64" t="b">
        <f ca="1">IFERROR(__xludf.DUMMYFUNCTION("""COMPUTED_VALUE"""),FALSE)</f>
        <v>0</v>
      </c>
      <c r="O208" s="64">
        <f ca="1">IFERROR(__xludf.DUMMYFUNCTION("""COMPUTED_VALUE"""),0)</f>
        <v>0</v>
      </c>
      <c r="P208" s="64" t="str">
        <f ca="1">IFERROR(__xludf.DUMMYFUNCTION("""COMPUTED_VALUE"""),"Common")</f>
        <v>Common</v>
      </c>
      <c r="Q208" s="64" t="str">
        <f ca="1">IFERROR(__xludf.DUMMYFUNCTION("""COMPUTED_VALUE"""),"area-effect")</f>
        <v>area-effect</v>
      </c>
      <c r="R208" s="64" t="str">
        <f ca="1">IFERROR(__xludf.DUMMYFUNCTION("""COMPUTED_VALUE"""),"Leaf")</f>
        <v>Leaf</v>
      </c>
      <c r="S208" s="64" t="str">
        <f ca="1">IFERROR(__xludf.DUMMYFUNCTION("""COMPUTED_VALUE"""),"Chinese Natural")</f>
        <v>Chinese Natural</v>
      </c>
      <c r="T208" s="64" t="str">
        <f ca="1">IFERROR(__xludf.DUMMYFUNCTION("""COMPUTED_VALUE"""),"None")</f>
        <v>None</v>
      </c>
      <c r="U208" s="64" t="str">
        <f ca="1">IFERROR(__xludf.DUMMYFUNCTION("""COMPUTED_VALUE"""),"None")</f>
        <v>None</v>
      </c>
      <c r="V208" s="64" t="str">
        <f ca="1">IFERROR(__xludf.DUMMYFUNCTION("""COMPUTED_VALUE"""),"bamboo")</f>
        <v>bamboo</v>
      </c>
      <c r="W208" s="64" t="str">
        <f ca="1">IFERROR(__xludf.DUMMYFUNCTION("""COMPUTED_VALUE"""),"Vanguard")</f>
        <v>Vanguard</v>
      </c>
      <c r="X208" s="64" t="str">
        <f ca="1">IFERROR(__xludf.DUMMYFUNCTION("""COMPUTED_VALUE"""),"PvZ 2 Chinease")</f>
        <v>PvZ 2 Chinease</v>
      </c>
      <c r="Y208" s="65" t="str">
        <f ca="1">IFERROR(__xludf.DUMMYFUNCTION("""COMPUTED_VALUE"""),"https://static.wikia.nocookie.net/plantsvszombies/images/2/2c/Bamboo_Shoot2.png/revision/latest?cb=20230331050619")</f>
        <v>https://static.wikia.nocookie.net/plantsvszombies/images/2/2c/Bamboo_Shoot2.png/revision/latest?cb=20230331050619</v>
      </c>
    </row>
    <row r="209" spans="1:25" x14ac:dyDescent="0.2">
      <c r="A209" s="64">
        <f ca="1">IFERROR(__xludf.DUMMYFUNCTION("""COMPUTED_VALUE"""),5)</f>
        <v>5</v>
      </c>
      <c r="B209" s="64" t="str">
        <f ca="1">IFERROR(__xludf.DUMMYFUNCTION("""COMPUTED_VALUE"""),"Oak Archer")</f>
        <v>Oak Archer</v>
      </c>
      <c r="C209" s="64" t="str">
        <f ca="1">IFERROR(__xludf.DUMMYFUNCTION("""COMPUTED_VALUE"""),"Carvalho Arqueiro")</f>
        <v>Carvalho Arqueiro</v>
      </c>
      <c r="D209" s="64" t="str">
        <f ca="1">IFERROR(__xludf.DUMMYFUNCTION("""COMPUTED_VALUE"""),"Perfura")</f>
        <v>Perfura</v>
      </c>
      <c r="E209" s="64" t="str">
        <f ca="1">IFERROR(__xludf.DUMMYFUNCTION("""COMPUTED_VALUE"""),"Dispara flechas contra os zumbis, tem que recarregar após o tiro.")</f>
        <v>Dispara flechas contra os zumbis, tem que recarregar após o tiro.</v>
      </c>
      <c r="F209" s="64">
        <f ca="1">IFERROR(__xludf.DUMMYFUNCTION("""COMPUTED_VALUE"""),275)</f>
        <v>275</v>
      </c>
      <c r="G209" s="64">
        <f ca="1">IFERROR(__xludf.DUMMYFUNCTION("""COMPUTED_VALUE"""),300)</f>
        <v>300</v>
      </c>
      <c r="H209" s="64">
        <f ca="1">IFERROR(__xludf.DUMMYFUNCTION("""COMPUTED_VALUE"""),130)</f>
        <v>130</v>
      </c>
      <c r="I209" s="64">
        <f ca="1">IFERROR(__xludf.DUMMYFUNCTION("""COMPUTED_VALUE"""),45784)</f>
        <v>45784</v>
      </c>
      <c r="J209" s="64" t="str">
        <f ca="1">IFERROR(__xludf.DUMMYFUNCTION("""COMPUTED_VALUE"""),"Rains arrows down on all zombies on screen")</f>
        <v>Rains arrows down on all zombies on screen</v>
      </c>
      <c r="K209" s="64"/>
      <c r="L209" s="64"/>
      <c r="M209" s="64" t="b">
        <f ca="1">IFERROR(__xludf.DUMMYFUNCTION("""COMPUTED_VALUE"""),FALSE)</f>
        <v>0</v>
      </c>
      <c r="N209" s="64" t="b">
        <f ca="1">IFERROR(__xludf.DUMMYFUNCTION("""COMPUTED_VALUE"""),FALSE)</f>
        <v>0</v>
      </c>
      <c r="O209" s="64">
        <f ca="1">IFERROR(__xludf.DUMMYFUNCTION("""COMPUTED_VALUE"""),0)</f>
        <v>0</v>
      </c>
      <c r="P209" s="64" t="str">
        <f ca="1">IFERROR(__xludf.DUMMYFUNCTION("""COMPUTED_VALUE"""),"Rare")</f>
        <v>Rare</v>
      </c>
      <c r="Q209" s="64"/>
      <c r="R209" s="64" t="str">
        <f ca="1">IFERROR(__xludf.DUMMYFUNCTION("""COMPUTED_VALUE"""),"Wood")</f>
        <v>Wood</v>
      </c>
      <c r="S209" s="64" t="str">
        <f ca="1">IFERROR(__xludf.DUMMYFUNCTION("""COMPUTED_VALUE"""),"Chinese Natural")</f>
        <v>Chinese Natural</v>
      </c>
      <c r="T209" s="64" t="str">
        <f ca="1">IFERROR(__xludf.DUMMYFUNCTION("""COMPUTED_VALUE"""),"None")</f>
        <v>None</v>
      </c>
      <c r="U209" s="64" t="str">
        <f ca="1">IFERROR(__xludf.DUMMYFUNCTION("""COMPUTED_VALUE"""),"None")</f>
        <v>None</v>
      </c>
      <c r="V209" s="64" t="str">
        <f ca="1">IFERROR(__xludf.DUMMYFUNCTION("""COMPUTED_VALUE"""),"---")</f>
        <v>---</v>
      </c>
      <c r="W209" s="64" t="str">
        <f ca="1">IFERROR(__xludf.DUMMYFUNCTION("""COMPUTED_VALUE"""),"Ranged")</f>
        <v>Ranged</v>
      </c>
      <c r="X209" s="64" t="str">
        <f ca="1">IFERROR(__xludf.DUMMYFUNCTION("""COMPUTED_VALUE"""),"PvZ 2 Chinease")</f>
        <v>PvZ 2 Chinease</v>
      </c>
      <c r="Y209" s="65" t="str">
        <f ca="1">IFERROR(__xludf.DUMMYFUNCTION("""COMPUTED_VALUE"""),"https://static.wikia.nocookie.net/plantsvszombies/images/6/69/Oak_Archer2.png/revision/latest?cb=20150322200617")</f>
        <v>https://static.wikia.nocookie.net/plantsvszombies/images/6/69/Oak_Archer2.png/revision/latest?cb=20150322200617</v>
      </c>
    </row>
    <row r="210" spans="1:25" x14ac:dyDescent="0.2">
      <c r="A210" s="64">
        <f ca="1">IFERROR(__xludf.DUMMYFUNCTION("""COMPUTED_VALUE"""),6)</f>
        <v>6</v>
      </c>
      <c r="B210" s="64" t="str">
        <f ca="1">IFERROR(__xludf.DUMMYFUNCTION("""COMPUTED_VALUE"""),"Coffee Bean")</f>
        <v>Coffee Bean</v>
      </c>
      <c r="C210" s="64" t="str">
        <f ca="1">IFERROR(__xludf.DUMMYFUNCTION("""COMPUTED_VALUE"""),"Grão de Café")</f>
        <v>Grão de Café</v>
      </c>
      <c r="D210" s="64" t="str">
        <f ca="1">IFERROR(__xludf.DUMMYFUNCTION("""COMPUTED_VALUE"""),"Encanta")</f>
        <v>Encanta</v>
      </c>
      <c r="E210" s="64" t="str">
        <f ca="1">IFERROR(__xludf.DUMMYFUNCTION("""COMPUTED_VALUE"""),"Desperta plantas adormecidas e fortalece seus ataques momentaneamente.")</f>
        <v>Desperta plantas adormecidas e fortalece seus ataques momentaneamente.</v>
      </c>
      <c r="F210" s="64">
        <f ca="1">IFERROR(__xludf.DUMMYFUNCTION("""COMPUTED_VALUE"""),75)</f>
        <v>75</v>
      </c>
      <c r="G210" s="64">
        <f ca="1">IFERROR(__xludf.DUMMYFUNCTION("""COMPUTED_VALUE"""),300)</f>
        <v>300</v>
      </c>
      <c r="H210" s="64">
        <f ca="1">IFERROR(__xludf.DUMMYFUNCTION("""COMPUTED_VALUE"""),0)</f>
        <v>0</v>
      </c>
      <c r="I210" s="64">
        <f ca="1">IFERROR(__xludf.DUMMYFUNCTION("""COMPUTED_VALUE"""),10)</f>
        <v>10</v>
      </c>
      <c r="J210" s="64" t="str">
        <f ca="1">IFERROR(__xludf.DUMMYFUNCTION("""COMPUTED_VALUE"""),"No plant effect")</f>
        <v>No plant effect</v>
      </c>
      <c r="K210" s="64" t="str">
        <f ca="1">IFERROR(__xludf.DUMMYFUNCTION("""COMPUTED_VALUE"""),"effect in 3x3 area")</f>
        <v>effect in 3x3 area</v>
      </c>
      <c r="L210" s="64"/>
      <c r="M210" s="64" t="b">
        <f ca="1">IFERROR(__xludf.DUMMYFUNCTION("""COMPUTED_VALUE"""),TRUE)</f>
        <v>1</v>
      </c>
      <c r="N210" s="64" t="b">
        <f ca="1">IFERROR(__xludf.DUMMYFUNCTION("""COMPUTED_VALUE"""),TRUE)</f>
        <v>1</v>
      </c>
      <c r="O210" s="64">
        <f ca="1">IFERROR(__xludf.DUMMYFUNCTION("""COMPUTED_VALUE"""),0)</f>
        <v>0</v>
      </c>
      <c r="P210" s="64" t="str">
        <f ca="1">IFERROR(__xludf.DUMMYFUNCTION("""COMPUTED_VALUE"""),"Common")</f>
        <v>Common</v>
      </c>
      <c r="Q210" s="64" t="str">
        <f ca="1">IFERROR(__xludf.DUMMYFUNCTION("""COMPUTED_VALUE"""),"area-effect")</f>
        <v>area-effect</v>
      </c>
      <c r="R210" s="64" t="str">
        <f ca="1">IFERROR(__xludf.DUMMYFUNCTION("""COMPUTED_VALUE"""),"Bean")</f>
        <v>Bean</v>
      </c>
      <c r="S210" s="64" t="str">
        <f ca="1">IFERROR(__xludf.DUMMYFUNCTION("""COMPUTED_VALUE"""),"Chinese Natural")</f>
        <v>Chinese Natural</v>
      </c>
      <c r="T210" s="64" t="str">
        <f ca="1">IFERROR(__xludf.DUMMYFUNCTION("""COMPUTED_VALUE"""),"None")</f>
        <v>None</v>
      </c>
      <c r="U210" s="64" t="str">
        <f ca="1">IFERROR(__xludf.DUMMYFUNCTION("""COMPUTED_VALUE"""),"None")</f>
        <v>None</v>
      </c>
      <c r="V210" s="64" t="str">
        <f ca="1">IFERROR(__xludf.DUMMYFUNCTION("""COMPUTED_VALUE"""),"---")</f>
        <v>---</v>
      </c>
      <c r="W210" s="64" t="str">
        <f ca="1">IFERROR(__xludf.DUMMYFUNCTION("""COMPUTED_VALUE"""),"Support")</f>
        <v>Support</v>
      </c>
      <c r="X210" s="64" t="str">
        <f ca="1">IFERROR(__xludf.DUMMYFUNCTION("""COMPUTED_VALUE"""),"PvZ, PvZ 2 Chinease")</f>
        <v>PvZ, PvZ 2 Chinease</v>
      </c>
      <c r="Y210" s="65" t="str">
        <f ca="1">IFERROR(__xludf.DUMMYFUNCTION("""COMPUTED_VALUE"""),"https://static.wikia.nocookie.net/plantsvszombies/images/e/e7/Coffee_Bean2.png/revision/latest?cb=20150322201447")</f>
        <v>https://static.wikia.nocookie.net/plantsvszombies/images/e/e7/Coffee_Bean2.png/revision/latest?cb=20150322201447</v>
      </c>
    </row>
    <row r="211" spans="1:25" x14ac:dyDescent="0.2">
      <c r="A211" s="64">
        <f ca="1">IFERROR(__xludf.DUMMYFUNCTION("""COMPUTED_VALUE"""),7)</f>
        <v>7</v>
      </c>
      <c r="B211" s="64" t="str">
        <f ca="1">IFERROR(__xludf.DUMMYFUNCTION("""COMPUTED_VALUE"""),"Plantern")</f>
        <v>Plantern</v>
      </c>
      <c r="C211" s="64" t="str">
        <f ca="1">IFERROR(__xludf.DUMMYFUNCTION("""COMPUTED_VALUE"""),"Planterna")</f>
        <v>Planterna</v>
      </c>
      <c r="D211" s="64" t="str">
        <f ca="1">IFERROR(__xludf.DUMMYFUNCTION("""COMPUTED_VALUE"""),"Encanta")</f>
        <v>Encanta</v>
      </c>
      <c r="E211" s="64" t="str">
        <f ca="1">IFERROR(__xludf.DUMMYFUNCTION("""COMPUTED_VALUE"""),"Ilumina o ambiente e revela alvos ocultos")</f>
        <v>Ilumina o ambiente e revela alvos ocultos</v>
      </c>
      <c r="F211" s="64">
        <f ca="1">IFERROR(__xludf.DUMMYFUNCTION("""COMPUTED_VALUE"""),25)</f>
        <v>25</v>
      </c>
      <c r="G211" s="64">
        <f ca="1">IFERROR(__xludf.DUMMYFUNCTION("""COMPUTED_VALUE"""),300)</f>
        <v>300</v>
      </c>
      <c r="H211" s="64">
        <f ca="1">IFERROR(__xludf.DUMMYFUNCTION("""COMPUTED_VALUE"""),0)</f>
        <v>0</v>
      </c>
      <c r="I211" s="64">
        <f ca="1">IFERROR(__xludf.DUMMYFUNCTION("""COMPUTED_VALUE"""),20)</f>
        <v>20</v>
      </c>
      <c r="J211" s="64" t="str">
        <f ca="1">IFERROR(__xludf.DUMMYFUNCTION("""COMPUTED_VALUE"""),"Plantern uses all the effort to illuminate, dispersing all darkness fog on the lawn for 30 seconds.")</f>
        <v>Plantern uses all the effort to illuminate, dispersing all darkness fog on the lawn for 30 seconds.</v>
      </c>
      <c r="K211" s="64"/>
      <c r="L211" s="64"/>
      <c r="M211" s="64" t="b">
        <f ca="1">IFERROR(__xludf.DUMMYFUNCTION("""COMPUTED_VALUE"""),FALSE)</f>
        <v>0</v>
      </c>
      <c r="N211" s="64" t="b">
        <f ca="1">IFERROR(__xludf.DUMMYFUNCTION("""COMPUTED_VALUE"""),FALSE)</f>
        <v>0</v>
      </c>
      <c r="O211" s="64">
        <f ca="1">IFERROR(__xludf.DUMMYFUNCTION("""COMPUTED_VALUE"""),0)</f>
        <v>0</v>
      </c>
      <c r="P211" s="64" t="str">
        <f ca="1">IFERROR(__xludf.DUMMYFUNCTION("""COMPUTED_VALUE"""),"Common")</f>
        <v>Common</v>
      </c>
      <c r="Q211" s="64" t="str">
        <f ca="1">IFERROR(__xludf.DUMMYFUNCTION("""COMPUTED_VALUE"""),"area-effect")</f>
        <v>area-effect</v>
      </c>
      <c r="R211" s="64" t="str">
        <f ca="1">IFERROR(__xludf.DUMMYFUNCTION("""COMPUTED_VALUE"""),"Wood")</f>
        <v>Wood</v>
      </c>
      <c r="S211" s="64" t="str">
        <f ca="1">IFERROR(__xludf.DUMMYFUNCTION("""COMPUTED_VALUE"""),"Chinese Natural")</f>
        <v>Chinese Natural</v>
      </c>
      <c r="T211" s="64" t="str">
        <f ca="1">IFERROR(__xludf.DUMMYFUNCTION("""COMPUTED_VALUE"""),"None")</f>
        <v>None</v>
      </c>
      <c r="U211" s="64" t="str">
        <f ca="1">IFERROR(__xludf.DUMMYFUNCTION("""COMPUTED_VALUE"""),"None")</f>
        <v>None</v>
      </c>
      <c r="V211" s="64" t="str">
        <f ca="1">IFERROR(__xludf.DUMMYFUNCTION("""COMPUTED_VALUE"""),"---")</f>
        <v>---</v>
      </c>
      <c r="W211" s="64" t="str">
        <f ca="1">IFERROR(__xludf.DUMMYFUNCTION("""COMPUTED_VALUE"""),"Special")</f>
        <v>Special</v>
      </c>
      <c r="X211" s="64" t="str">
        <f ca="1">IFERROR(__xludf.DUMMYFUNCTION("""COMPUTED_VALUE"""),"PvZ, PvZ 2 Chinease, PvZ Heroes")</f>
        <v>PvZ, PvZ 2 Chinease, PvZ Heroes</v>
      </c>
      <c r="Y211" s="65" t="str">
        <f ca="1">IFERROR(__xludf.DUMMYFUNCTION("""COMPUTED_VALUE"""),"https://static.wikia.nocookie.net/plantsvszombies/images/c/c6/Plantern2.png/revision/latest?cb=20150714005549")</f>
        <v>https://static.wikia.nocookie.net/plantsvszombies/images/c/c6/Plantern2.png/revision/latest?cb=20150714005549</v>
      </c>
    </row>
    <row r="212" spans="1:25" x14ac:dyDescent="0.2">
      <c r="A212" s="64">
        <f ca="1">IFERROR(__xludf.DUMMYFUNCTION("""COMPUTED_VALUE"""),8)</f>
        <v>8</v>
      </c>
      <c r="B212" s="64" t="str">
        <f ca="1">IFERROR(__xludf.DUMMYFUNCTION("""COMPUTED_VALUE"""),"Acid Lemon")</f>
        <v>Acid Lemon</v>
      </c>
      <c r="C212" s="64" t="str">
        <f ca="1">IFERROR(__xludf.DUMMYFUNCTION("""COMPUTED_VALUE"""),"Limonácido")</f>
        <v>Limonácido</v>
      </c>
      <c r="D212" s="64" t="str">
        <f ca="1">IFERROR(__xludf.DUMMYFUNCTION("""COMPUTED_VALUE"""),"Envenenada")</f>
        <v>Envenenada</v>
      </c>
      <c r="E212" s="64" t="str">
        <f ca="1">IFERROR(__xludf.DUMMYFUNCTION("""COMPUTED_VALUE"""),"Dispara limonada que derrete armaduras e causam mais danos a elas.")</f>
        <v>Dispara limonada que derrete armaduras e causam mais danos a elas.</v>
      </c>
      <c r="F212" s="64">
        <f ca="1">IFERROR(__xludf.DUMMYFUNCTION("""COMPUTED_VALUE"""),125)</f>
        <v>125</v>
      </c>
      <c r="G212" s="64">
        <f ca="1">IFERROR(__xludf.DUMMYFUNCTION("""COMPUTED_VALUE"""),300)</f>
        <v>300</v>
      </c>
      <c r="H212" s="64">
        <f ca="1">IFERROR(__xludf.DUMMYFUNCTION("""COMPUTED_VALUE"""),50)</f>
        <v>50</v>
      </c>
      <c r="I212" s="64">
        <f ca="1">IFERROR(__xludf.DUMMYFUNCTION("""COMPUTED_VALUE"""),5)</f>
        <v>5</v>
      </c>
      <c r="J212" s="64" t="str">
        <f ca="1">IFERROR(__xludf.DUMMYFUNCTION("""COMPUTED_VALUE"""),"Acidic Lemon shoots acid rain, damaging all zombies on the lawn.")</f>
        <v>Acidic Lemon shoots acid rain, damaging all zombies on the lawn.</v>
      </c>
      <c r="K212" s="64"/>
      <c r="L212" s="64"/>
      <c r="M212" s="64" t="b">
        <f ca="1">IFERROR(__xludf.DUMMYFUNCTION("""COMPUTED_VALUE"""),FALSE)</f>
        <v>0</v>
      </c>
      <c r="N212" s="64" t="b">
        <f ca="1">IFERROR(__xludf.DUMMYFUNCTION("""COMPUTED_VALUE"""),FALSE)</f>
        <v>0</v>
      </c>
      <c r="O212" s="64">
        <f ca="1">IFERROR(__xludf.DUMMYFUNCTION("""COMPUTED_VALUE"""),0)</f>
        <v>0</v>
      </c>
      <c r="P212" s="64" t="str">
        <f ca="1">IFERROR(__xludf.DUMMYFUNCTION("""COMPUTED_VALUE"""),"Legendary")</f>
        <v>Legendary</v>
      </c>
      <c r="Q212" s="64"/>
      <c r="R212" s="64" t="str">
        <f ca="1">IFERROR(__xludf.DUMMYFUNCTION("""COMPUTED_VALUE"""),"Fruit")</f>
        <v>Fruit</v>
      </c>
      <c r="S212" s="64" t="str">
        <f ca="1">IFERROR(__xludf.DUMMYFUNCTION("""COMPUTED_VALUE"""),"Chinese Natural")</f>
        <v>Chinese Natural</v>
      </c>
      <c r="T212" s="64" t="str">
        <f ca="1">IFERROR(__xludf.DUMMYFUNCTION("""COMPUTED_VALUE"""),"None")</f>
        <v>None</v>
      </c>
      <c r="U212" s="64" t="str">
        <f ca="1">IFERROR(__xludf.DUMMYFUNCTION("""COMPUTED_VALUE"""),"None")</f>
        <v>None</v>
      </c>
      <c r="V212" s="64" t="str">
        <f ca="1">IFERROR(__xludf.DUMMYFUNCTION("""COMPUTED_VALUE"""),"lemon")</f>
        <v>lemon</v>
      </c>
      <c r="W212" s="64" t="str">
        <f ca="1">IFERROR(__xludf.DUMMYFUNCTION("""COMPUTED_VALUE"""),"Ranged")</f>
        <v>Ranged</v>
      </c>
      <c r="X212" s="64" t="str">
        <f ca="1">IFERROR(__xludf.DUMMYFUNCTION("""COMPUTED_VALUE"""),"PvZ 2 Chinease")</f>
        <v>PvZ 2 Chinease</v>
      </c>
      <c r="Y212" s="65" t="str">
        <f ca="1">IFERROR(__xludf.DUMMYFUNCTION("""COMPUTED_VALUE"""),"https://static.wikia.nocookie.net/plantsvszombies/images/e/e9/Acid_Lemon2.png/revision/latest?cb=20150805184227")</f>
        <v>https://static.wikia.nocookie.net/plantsvszombies/images/e/e9/Acid_Lemon2.png/revision/latest?cb=20150805184227</v>
      </c>
    </row>
    <row r="213" spans="1:25" x14ac:dyDescent="0.2">
      <c r="A213" s="64">
        <f ca="1">IFERROR(__xludf.DUMMYFUNCTION("""COMPUTED_VALUE"""),9)</f>
        <v>9</v>
      </c>
      <c r="B213" s="64" t="str">
        <f ca="1">IFERROR(__xludf.DUMMYFUNCTION("""COMPUTED_VALUE"""),"Lotus Pod")</f>
        <v>Lotus Pod</v>
      </c>
      <c r="C213" s="64" t="str">
        <f ca="1">IFERROR(__xludf.DUMMYFUNCTION("""COMPUTED_VALUE"""),"Broto Lótus")</f>
        <v>Broto Lótus</v>
      </c>
      <c r="D213" s="64" t="str">
        <f ca="1">IFERROR(__xludf.DUMMYFUNCTION("""COMPUTED_VALUE"""),"Arma")</f>
        <v>Arma</v>
      </c>
      <c r="E213" s="64" t="str">
        <f ca="1">IFERROR(__xludf.DUMMYFUNCTION("""COMPUTED_VALUE"""),"Dispara sementes de dano em terra e mísseis explosivos em água.")</f>
        <v>Dispara sementes de dano em terra e mísseis explosivos em água.</v>
      </c>
      <c r="F213" s="64">
        <f ca="1">IFERROR(__xludf.DUMMYFUNCTION("""COMPUTED_VALUE"""),200)</f>
        <v>200</v>
      </c>
      <c r="G213" s="64">
        <f ca="1">IFERROR(__xludf.DUMMYFUNCTION("""COMPUTED_VALUE"""),300)</f>
        <v>300</v>
      </c>
      <c r="H213" s="64">
        <f ca="1">IFERROR(__xludf.DUMMYFUNCTION("""COMPUTED_VALUE"""),120)</f>
        <v>120</v>
      </c>
      <c r="I213" s="64">
        <f ca="1">IFERROR(__xludf.DUMMYFUNCTION("""COMPUTED_VALUE"""),5)</f>
        <v>5</v>
      </c>
      <c r="J213" s="64" t="str">
        <f ca="1">IFERROR(__xludf.DUMMYFUNCTION("""COMPUTED_VALUE"""),"On land, Lotus Pod fires a missile that damages zombies in a 2×1 area. In water, fires a torpedo that damages all zombies in the lane, creating an explosion with a range of 2×1 at the end of the lane.")</f>
        <v>On land, Lotus Pod fires a missile that damages zombies in a 2×1 area. In water, fires a torpedo that damages all zombies in the lane, creating an explosion with a range of 2×1 at the end of the lane.</v>
      </c>
      <c r="K213" s="64"/>
      <c r="L213" s="64"/>
      <c r="M213" s="64" t="b">
        <f ca="1">IFERROR(__xludf.DUMMYFUNCTION("""COMPUTED_VALUE"""),FALSE)</f>
        <v>0</v>
      </c>
      <c r="N213" s="64" t="b">
        <f ca="1">IFERROR(__xludf.DUMMYFUNCTION("""COMPUTED_VALUE"""),FALSE)</f>
        <v>0</v>
      </c>
      <c r="O213" s="64">
        <f ca="1">IFERROR(__xludf.DUMMYFUNCTION("""COMPUTED_VALUE"""),0)</f>
        <v>0</v>
      </c>
      <c r="P213" s="64" t="str">
        <f ca="1">IFERROR(__xludf.DUMMYFUNCTION("""COMPUTED_VALUE"""),"Rare")</f>
        <v>Rare</v>
      </c>
      <c r="Q213" s="64" t="str">
        <f ca="1">IFERROR(__xludf.DUMMYFUNCTION("""COMPUTED_VALUE"""),"aquatic")</f>
        <v>aquatic</v>
      </c>
      <c r="R213" s="64" t="str">
        <f ca="1">IFERROR(__xludf.DUMMYFUNCTION("""COMPUTED_VALUE"""),"Leaf")</f>
        <v>Leaf</v>
      </c>
      <c r="S213" s="64" t="str">
        <f ca="1">IFERROR(__xludf.DUMMYFUNCTION("""COMPUTED_VALUE"""),"Chinese Natural")</f>
        <v>Chinese Natural</v>
      </c>
      <c r="T213" s="64" t="str">
        <f ca="1">IFERROR(__xludf.DUMMYFUNCTION("""COMPUTED_VALUE"""),"None")</f>
        <v>None</v>
      </c>
      <c r="U213" s="64" t="str">
        <f ca="1">IFERROR(__xludf.DUMMYFUNCTION("""COMPUTED_VALUE"""),"None")</f>
        <v>None</v>
      </c>
      <c r="V213" s="64" t="str">
        <f ca="1">IFERROR(__xludf.DUMMYFUNCTION("""COMPUTED_VALUE"""),"lotusshower")</f>
        <v>lotusshower</v>
      </c>
      <c r="W213" s="64" t="str">
        <f ca="1">IFERROR(__xludf.DUMMYFUNCTION("""COMPUTED_VALUE"""),"Ranged")</f>
        <v>Ranged</v>
      </c>
      <c r="X213" s="64" t="str">
        <f ca="1">IFERROR(__xludf.DUMMYFUNCTION("""COMPUTED_VALUE"""),"PvZ 2 Chinease")</f>
        <v>PvZ 2 Chinease</v>
      </c>
      <c r="Y213" s="65" t="str">
        <f ca="1">IFERROR(__xludf.DUMMYFUNCTION("""COMPUTED_VALUE"""),"https://static.wikia.nocookie.net/plantsvszombies/images/5/57/Lotus_Pod2.png/revision/latest?cb=20150517073958")</f>
        <v>https://static.wikia.nocookie.net/plantsvszombies/images/5/57/Lotus_Pod2.png/revision/latest?cb=20150517073958</v>
      </c>
    </row>
    <row r="214" spans="1:25" x14ac:dyDescent="0.2">
      <c r="A214" s="64">
        <f ca="1">IFERROR(__xludf.DUMMYFUNCTION("""COMPUTED_VALUE"""),10)</f>
        <v>10</v>
      </c>
      <c r="B214" s="64" t="str">
        <f ca="1">IFERROR(__xludf.DUMMYFUNCTION("""COMPUTED_VALUE"""),"Rafflesia")</f>
        <v>Rafflesia</v>
      </c>
      <c r="C214" s="64" t="str">
        <f ca="1">IFERROR(__xludf.DUMMYFUNCTION("""COMPUTED_VALUE"""),"Raflésia")</f>
        <v>Raflésia</v>
      </c>
      <c r="D214" s="64" t="str">
        <f ca="1">IFERROR(__xludf.DUMMYFUNCTION("""COMPUTED_VALUE"""),"Bombarda")</f>
        <v>Bombarda</v>
      </c>
      <c r="E214" s="64" t="str">
        <f ca="1">IFERROR(__xludf.DUMMYFUNCTION("""COMPUTED_VALUE"""),"Produz uma bomba de esporos que causa dano explosivo.")</f>
        <v>Produz uma bomba de esporos que causa dano explosivo.</v>
      </c>
      <c r="F214" s="64">
        <f ca="1">IFERROR(__xludf.DUMMYFUNCTION("""COMPUTED_VALUE"""),350)</f>
        <v>350</v>
      </c>
      <c r="G214" s="64">
        <f ca="1">IFERROR(__xludf.DUMMYFUNCTION("""COMPUTED_VALUE"""),300)</f>
        <v>300</v>
      </c>
      <c r="H214" s="64">
        <f ca="1">IFERROR(__xludf.DUMMYFUNCTION("""COMPUTED_VALUE"""),150)</f>
        <v>150</v>
      </c>
      <c r="I214" s="64">
        <f ca="1">IFERROR(__xludf.DUMMYFUNCTION("""COMPUTED_VALUE"""),45784)</f>
        <v>45784</v>
      </c>
      <c r="J214" s="64" t="str">
        <f ca="1">IFERROR(__xludf.DUMMYFUNCTION("""COMPUTED_VALUE"""),"Rafflesia simultaneously fires 5 bubbles with 8 times the original damage, attacking random zombies on the lawn.")</f>
        <v>Rafflesia simultaneously fires 5 bubbles with 8 times the original damage, attacking random zombies on the lawn.</v>
      </c>
      <c r="K214" s="64"/>
      <c r="L214" s="64" t="str">
        <f ca="1">IFERROR(__xludf.DUMMYFUNCTION("""COMPUTED_VALUE"""),"Special - Attacks zombies at the rear")</f>
        <v>Special - Attacks zombies at the rear</v>
      </c>
      <c r="M214" s="64" t="b">
        <f ca="1">IFERROR(__xludf.DUMMYFUNCTION("""COMPUTED_VALUE"""),FALSE)</f>
        <v>0</v>
      </c>
      <c r="N214" s="64" t="b">
        <f ca="1">IFERROR(__xludf.DUMMYFUNCTION("""COMPUTED_VALUE"""),FALSE)</f>
        <v>0</v>
      </c>
      <c r="O214" s="64">
        <f ca="1">IFERROR(__xludf.DUMMYFUNCTION("""COMPUTED_VALUE"""),0)</f>
        <v>0</v>
      </c>
      <c r="P214" s="64" t="str">
        <f ca="1">IFERROR(__xludf.DUMMYFUNCTION("""COMPUTED_VALUE"""),"Uncommon")</f>
        <v>Uncommon</v>
      </c>
      <c r="Q214" s="64" t="str">
        <f ca="1">IFERROR(__xludf.DUMMYFUNCTION("""COMPUTED_VALUE"""),"area-effect")</f>
        <v>area-effect</v>
      </c>
      <c r="R214" s="64" t="str">
        <f ca="1">IFERROR(__xludf.DUMMYFUNCTION("""COMPUTED_VALUE"""),"Flower")</f>
        <v>Flower</v>
      </c>
      <c r="S214" s="64" t="str">
        <f ca="1">IFERROR(__xludf.DUMMYFUNCTION("""COMPUTED_VALUE"""),"Chinese Natural")</f>
        <v>Chinese Natural</v>
      </c>
      <c r="T214" s="64" t="str">
        <f ca="1">IFERROR(__xludf.DUMMYFUNCTION("""COMPUTED_VALUE"""),"None")</f>
        <v>None</v>
      </c>
      <c r="U214" s="64" t="str">
        <f ca="1">IFERROR(__xludf.DUMMYFUNCTION("""COMPUTED_VALUE"""),"None")</f>
        <v>None</v>
      </c>
      <c r="V214" s="64" t="str">
        <f ca="1">IFERROR(__xludf.DUMMYFUNCTION("""COMPUTED_VALUE"""),"rafflesia")</f>
        <v>rafflesia</v>
      </c>
      <c r="W214" s="64" t="str">
        <f ca="1">IFERROR(__xludf.DUMMYFUNCTION("""COMPUTED_VALUE"""),"Ranged")</f>
        <v>Ranged</v>
      </c>
      <c r="X214" s="64" t="str">
        <f ca="1">IFERROR(__xludf.DUMMYFUNCTION("""COMPUTED_VALUE"""),"PvZ 2 Chinease")</f>
        <v>PvZ 2 Chinease</v>
      </c>
      <c r="Y214" s="65" t="str">
        <f ca="1">IFERROR(__xludf.DUMMYFUNCTION("""COMPUTED_VALUE"""),"https://static.wikia.nocookie.net/plantsvszombies/images/2/2a/Rafflesia2.png/revision/latest?cb=20151031192058")</f>
        <v>https://static.wikia.nocookie.net/plantsvszombies/images/2/2a/Rafflesia2.png/revision/latest?cb=20151031192058</v>
      </c>
    </row>
    <row r="215" spans="1:25" x14ac:dyDescent="0.2">
      <c r="A215" s="64">
        <f ca="1">IFERROR(__xludf.DUMMYFUNCTION("""COMPUTED_VALUE"""),11)</f>
        <v>11</v>
      </c>
      <c r="B215" s="64" t="str">
        <f ca="1">IFERROR(__xludf.DUMMYFUNCTION("""COMPUTED_VALUE"""),"Whirlwind Acorn")</f>
        <v>Whirlwind Acorn</v>
      </c>
      <c r="C215" s="64" t="str">
        <f ca="1">IFERROR(__xludf.DUMMYFUNCTION("""COMPUTED_VALUE"""),"Bolota tornado")</f>
        <v>Bolota tornado</v>
      </c>
      <c r="D215" s="64" t="str">
        <f ca="1">IFERROR(__xludf.DUMMYFUNCTION("""COMPUTED_VALUE"""),"Dispara")</f>
        <v>Dispara</v>
      </c>
      <c r="E215" s="64" t="str">
        <f ca="1">IFERROR(__xludf.DUMMYFUNCTION("""COMPUTED_VALUE"""),"Lança sua boina acertando todos os zumbis duas vezes.")</f>
        <v>Lança sua boina acertando todos os zumbis duas vezes.</v>
      </c>
      <c r="F215" s="64">
        <f ca="1">IFERROR(__xludf.DUMMYFUNCTION("""COMPUTED_VALUE"""),300)</f>
        <v>300</v>
      </c>
      <c r="G215" s="64">
        <f ca="1">IFERROR(__xludf.DUMMYFUNCTION("""COMPUTED_VALUE"""),300)</f>
        <v>300</v>
      </c>
      <c r="H215" s="64">
        <f ca="1">IFERROR(__xludf.DUMMYFUNCTION("""COMPUTED_VALUE"""),70)</f>
        <v>70</v>
      </c>
      <c r="I215" s="64">
        <f ca="1">IFERROR(__xludf.DUMMYFUNCTION("""COMPUTED_VALUE"""),45784)</f>
        <v>45784</v>
      </c>
      <c r="J215" s="64" t="str">
        <f ca="1">IFERROR(__xludf.DUMMYFUNCTION("""COMPUTED_VALUE"""),"Makes a whirlwind, damaging zombies and destroying obstacles in the lane.")</f>
        <v>Makes a whirlwind, damaging zombies and destroying obstacles in the lane.</v>
      </c>
      <c r="K215" s="64"/>
      <c r="L215" s="64"/>
      <c r="M215" s="64" t="b">
        <f ca="1">IFERROR(__xludf.DUMMYFUNCTION("""COMPUTED_VALUE"""),FALSE)</f>
        <v>0</v>
      </c>
      <c r="N215" s="64" t="b">
        <f ca="1">IFERROR(__xludf.DUMMYFUNCTION("""COMPUTED_VALUE"""),FALSE)</f>
        <v>0</v>
      </c>
      <c r="O215" s="64">
        <f ca="1">IFERROR(__xludf.DUMMYFUNCTION("""COMPUTED_VALUE"""),0)</f>
        <v>0</v>
      </c>
      <c r="P215" s="64" t="str">
        <f ca="1">IFERROR(__xludf.DUMMYFUNCTION("""COMPUTED_VALUE"""),"Uncommon")</f>
        <v>Uncommon</v>
      </c>
      <c r="Q215" s="64" t="str">
        <f ca="1">IFERROR(__xludf.DUMMYFUNCTION("""COMPUTED_VALUE"""),"area-effect, tornado")</f>
        <v>area-effect, tornado</v>
      </c>
      <c r="R215" s="64" t="str">
        <f ca="1">IFERROR(__xludf.DUMMYFUNCTION("""COMPUTED_VALUE"""),"Nut")</f>
        <v>Nut</v>
      </c>
      <c r="S215" s="64" t="str">
        <f ca="1">IFERROR(__xludf.DUMMYFUNCTION("""COMPUTED_VALUE"""),"Chinese Natural")</f>
        <v>Chinese Natural</v>
      </c>
      <c r="T215" s="64" t="str">
        <f ca="1">IFERROR(__xludf.DUMMYFUNCTION("""COMPUTED_VALUE"""),"None")</f>
        <v>None</v>
      </c>
      <c r="U215" s="64" t="str">
        <f ca="1">IFERROR(__xludf.DUMMYFUNCTION("""COMPUTED_VALUE"""),"None")</f>
        <v>None</v>
      </c>
      <c r="V215" s="64" t="str">
        <f ca="1">IFERROR(__xludf.DUMMYFUNCTION("""COMPUTED_VALUE"""),"acorn")</f>
        <v>acorn</v>
      </c>
      <c r="W215" s="64" t="str">
        <f ca="1">IFERROR(__xludf.DUMMYFUNCTION("""COMPUTED_VALUE"""),"Ranged")</f>
        <v>Ranged</v>
      </c>
      <c r="X215" s="64" t="str">
        <f ca="1">IFERROR(__xludf.DUMMYFUNCTION("""COMPUTED_VALUE"""),"PvZ 2 Chinease")</f>
        <v>PvZ 2 Chinease</v>
      </c>
      <c r="Y215" s="65" t="str">
        <f ca="1">IFERROR(__xludf.DUMMYFUNCTION("""COMPUTED_VALUE"""),"https://static.wikia.nocookie.net/plantsvszombies/images/2/20/Whirlwind_Acorn2.png/revision/latest?cb=20160818132726")</f>
        <v>https://static.wikia.nocookie.net/plantsvszombies/images/2/20/Whirlwind_Acorn2.png/revision/latest?cb=20160818132726</v>
      </c>
    </row>
    <row r="216" spans="1:25" x14ac:dyDescent="0.2">
      <c r="A216" s="64">
        <f ca="1">IFERROR(__xludf.DUMMYFUNCTION("""COMPUTED_VALUE"""),12)</f>
        <v>12</v>
      </c>
      <c r="B216" s="64" t="str">
        <f ca="1">IFERROR(__xludf.DUMMYFUNCTION("""COMPUTED_VALUE"""),"Loquat")</f>
        <v>Loquat</v>
      </c>
      <c r="C216" s="64" t="str">
        <f ca="1">IFERROR(__xludf.DUMMYFUNCTION("""COMPUTED_VALUE"""),"Nêspera")</f>
        <v>Nêspera</v>
      </c>
      <c r="D216" s="64" t="str">
        <f ca="1">IFERROR(__xludf.DUMMYFUNCTION("""COMPUTED_VALUE"""),"Refrea")</f>
        <v>Refrea</v>
      </c>
      <c r="E216" s="64" t="str">
        <f ca="1">IFERROR(__xludf.DUMMYFUNCTION("""COMPUTED_VALUE"""),"Cria um vortex que puxa os zumbis em uma área 3x3.")</f>
        <v>Cria um vortex que puxa os zumbis em uma área 3x3.</v>
      </c>
      <c r="F216" s="64">
        <f ca="1">IFERROR(__xludf.DUMMYFUNCTION("""COMPUTED_VALUE"""),75)</f>
        <v>75</v>
      </c>
      <c r="G216" s="64">
        <f ca="1">IFERROR(__xludf.DUMMYFUNCTION("""COMPUTED_VALUE"""),1)</f>
        <v>1</v>
      </c>
      <c r="H216" s="64">
        <f ca="1">IFERROR(__xludf.DUMMYFUNCTION("""COMPUTED_VALUE"""),0)</f>
        <v>0</v>
      </c>
      <c r="I216" s="64">
        <f ca="1">IFERROR(__xludf.DUMMYFUNCTION("""COMPUTED_VALUE"""),30)</f>
        <v>30</v>
      </c>
      <c r="J216" s="64" t="str">
        <f ca="1">IFERROR(__xludf.DUMMYFUNCTION("""COMPUTED_VALUE"""),"No plant effect")</f>
        <v>No plant effect</v>
      </c>
      <c r="K216" s="64"/>
      <c r="L216" s="64" t="str">
        <f ca="1">IFERROR(__xludf.DUMMYFUNCTION("""COMPUTED_VALUE"""),"Special - Generates a whirlwind to pull zombies, can pull down zombies in the sky.")</f>
        <v>Special - Generates a whirlwind to pull zombies, can pull down zombies in the sky.</v>
      </c>
      <c r="M216" s="64" t="b">
        <f ca="1">IFERROR(__xludf.DUMMYFUNCTION("""COMPUTED_VALUE"""),TRUE)</f>
        <v>1</v>
      </c>
      <c r="N216" s="64" t="b">
        <f ca="1">IFERROR(__xludf.DUMMYFUNCTION("""COMPUTED_VALUE"""),TRUE)</f>
        <v>1</v>
      </c>
      <c r="O216" s="64">
        <f ca="1">IFERROR(__xludf.DUMMYFUNCTION("""COMPUTED_VALUE"""),0)</f>
        <v>0</v>
      </c>
      <c r="P216" s="64" t="str">
        <f ca="1">IFERROR(__xludf.DUMMYFUNCTION("""COMPUTED_VALUE"""),"Uncommon")</f>
        <v>Uncommon</v>
      </c>
      <c r="Q216" s="64" t="str">
        <f ca="1">IFERROR(__xludf.DUMMYFUNCTION("""COMPUTED_VALUE"""),"flying, tornado")</f>
        <v>flying, tornado</v>
      </c>
      <c r="R216" s="64" t="str">
        <f ca="1">IFERROR(__xludf.DUMMYFUNCTION("""COMPUTED_VALUE"""),"Fruit")</f>
        <v>Fruit</v>
      </c>
      <c r="S216" s="64" t="str">
        <f ca="1">IFERROR(__xludf.DUMMYFUNCTION("""COMPUTED_VALUE"""),"Chinese Natural")</f>
        <v>Chinese Natural</v>
      </c>
      <c r="T216" s="64" t="str">
        <f ca="1">IFERROR(__xludf.DUMMYFUNCTION("""COMPUTED_VALUE"""),"None")</f>
        <v>None</v>
      </c>
      <c r="U216" s="64" t="str">
        <f ca="1">IFERROR(__xludf.DUMMYFUNCTION("""COMPUTED_VALUE"""),"None")</f>
        <v>None</v>
      </c>
      <c r="V216" s="64" t="str">
        <f ca="1">IFERROR(__xludf.DUMMYFUNCTION("""COMPUTED_VALUE"""),"doublesamara")</f>
        <v>doublesamara</v>
      </c>
      <c r="W216" s="64" t="str">
        <f ca="1">IFERROR(__xludf.DUMMYFUNCTION("""COMPUTED_VALUE"""),"Special")</f>
        <v>Special</v>
      </c>
      <c r="X216" s="64" t="str">
        <f ca="1">IFERROR(__xludf.DUMMYFUNCTION("""COMPUTED_VALUE"""),"PvZ 2 Chinease")</f>
        <v>PvZ 2 Chinease</v>
      </c>
      <c r="Y216" s="65" t="str">
        <f ca="1">IFERROR(__xludf.DUMMYFUNCTION("""COMPUTED_VALUE"""),"https://static.wikia.nocookie.net/plantsvszombies/images/9/98/Loquat2.png/revision/latest?cb=20221226045117")</f>
        <v>https://static.wikia.nocookie.net/plantsvszombies/images/9/98/Loquat2.png/revision/latest?cb=20221226045117</v>
      </c>
    </row>
    <row r="217" spans="1:25" x14ac:dyDescent="0.2">
      <c r="A217" s="64">
        <f ca="1">IFERROR(__xludf.DUMMYFUNCTION("""COMPUTED_VALUE"""),13)</f>
        <v>13</v>
      </c>
      <c r="B217" s="64" t="str">
        <f ca="1">IFERROR(__xludf.DUMMYFUNCTION("""COMPUTED_VALUE"""),"Asparagus")</f>
        <v>Asparagus</v>
      </c>
      <c r="C217" s="64" t="str">
        <f ca="1">IFERROR(__xludf.DUMMYFUNCTION("""COMPUTED_VALUE"""),"Aspargo")</f>
        <v>Aspargo</v>
      </c>
      <c r="D217" s="64" t="str">
        <f ca="1">IFERROR(__xludf.DUMMYFUNCTION("""COMPUTED_VALUE"""),"Dispara")</f>
        <v>Dispara</v>
      </c>
      <c r="E217" s="64" t="str">
        <f ca="1">IFERROR(__xludf.DUMMYFUNCTION("""COMPUTED_VALUE"""),"Ataca zumbis também nas colunas adjacentes")</f>
        <v>Ataca zumbis também nas colunas adjacentes</v>
      </c>
      <c r="F217" s="64">
        <f ca="1">IFERROR(__xludf.DUMMYFUNCTION("""COMPUTED_VALUE"""),125)</f>
        <v>125</v>
      </c>
      <c r="G217" s="64">
        <f ca="1">IFERROR(__xludf.DUMMYFUNCTION("""COMPUTED_VALUE"""),300)</f>
        <v>300</v>
      </c>
      <c r="H217" s="64">
        <f ca="1">IFERROR(__xludf.DUMMYFUNCTION("""COMPUTED_VALUE"""),70)</f>
        <v>70</v>
      </c>
      <c r="I217" s="64">
        <f ca="1">IFERROR(__xludf.DUMMYFUNCTION("""COMPUTED_VALUE"""),5)</f>
        <v>5</v>
      </c>
      <c r="J217" s="64" t="str">
        <f ca="1">IFERROR(__xludf.DUMMYFUNCTION("""COMPUTED_VALUE"""),"Asparagus wears a helmet and fires at, one after another, three rows of zombies.")</f>
        <v>Asparagus wears a helmet and fires at, one after another, three rows of zombies.</v>
      </c>
      <c r="K217" s="64"/>
      <c r="L217" s="64" t="str">
        <f ca="1">IFERROR(__xludf.DUMMYFUNCTION("""COMPUTED_VALUE"""),"Special - Able to attack targets ahead and on nearby rows")</f>
        <v>Special - Able to attack targets ahead and on nearby rows</v>
      </c>
      <c r="M217" s="64" t="b">
        <f ca="1">IFERROR(__xludf.DUMMYFUNCTION("""COMPUTED_VALUE"""),FALSE)</f>
        <v>0</v>
      </c>
      <c r="N217" s="64" t="b">
        <f ca="1">IFERROR(__xludf.DUMMYFUNCTION("""COMPUTED_VALUE"""),FALSE)</f>
        <v>0</v>
      </c>
      <c r="O217" s="64">
        <f ca="1">IFERROR(__xludf.DUMMYFUNCTION("""COMPUTED_VALUE"""),0)</f>
        <v>0</v>
      </c>
      <c r="P217" s="64" t="str">
        <f ca="1">IFERROR(__xludf.DUMMYFUNCTION("""COMPUTED_VALUE"""),"Rare")</f>
        <v>Rare</v>
      </c>
      <c r="Q217" s="64" t="str">
        <f ca="1">IFERROR(__xludf.DUMMYFUNCTION("""COMPUTED_VALUE"""),"flying")</f>
        <v>flying</v>
      </c>
      <c r="R217" s="64" t="str">
        <f ca="1">IFERROR(__xludf.DUMMYFUNCTION("""COMPUTED_VALUE"""),"Vegetable")</f>
        <v>Vegetable</v>
      </c>
      <c r="S217" s="64" t="str">
        <f ca="1">IFERROR(__xludf.DUMMYFUNCTION("""COMPUTED_VALUE"""),"Chinese Natural")</f>
        <v>Chinese Natural</v>
      </c>
      <c r="T217" s="64" t="str">
        <f ca="1">IFERROR(__xludf.DUMMYFUNCTION("""COMPUTED_VALUE"""),"None")</f>
        <v>None</v>
      </c>
      <c r="U217" s="64" t="str">
        <f ca="1">IFERROR(__xludf.DUMMYFUNCTION("""COMPUTED_VALUE"""),"None")</f>
        <v>None</v>
      </c>
      <c r="V217" s="64" t="str">
        <f ca="1">IFERROR(__xludf.DUMMYFUNCTION("""COMPUTED_VALUE"""),"---")</f>
        <v>---</v>
      </c>
      <c r="W217" s="64" t="str">
        <f ca="1">IFERROR(__xludf.DUMMYFUNCTION("""COMPUTED_VALUE"""),"Ranged")</f>
        <v>Ranged</v>
      </c>
      <c r="X217" s="64" t="str">
        <f ca="1">IFERROR(__xludf.DUMMYFUNCTION("""COMPUTED_VALUE"""),"PvZ 2 Chinease")</f>
        <v>PvZ 2 Chinease</v>
      </c>
      <c r="Y217" s="65" t="str">
        <f ca="1">IFERROR(__xludf.DUMMYFUNCTION("""COMPUTED_VALUE"""),"https://static.wikia.nocookie.net/plantsvszombies/images/c/cf/Asparagus2.png/revision/latest?cb=20221225063419")</f>
        <v>https://static.wikia.nocookie.net/plantsvszombies/images/c/cf/Asparagus2.png/revision/latest?cb=20221225063419</v>
      </c>
    </row>
    <row r="218" spans="1:25" x14ac:dyDescent="0.2">
      <c r="A218" s="64">
        <f ca="1">IFERROR(__xludf.DUMMYFUNCTION("""COMPUTED_VALUE"""),14)</f>
        <v>14</v>
      </c>
      <c r="B218" s="64" t="str">
        <f ca="1">IFERROR(__xludf.DUMMYFUNCTION("""COMPUTED_VALUE"""),"Saucer")</f>
        <v>Saucer</v>
      </c>
      <c r="C218" s="64" t="str">
        <f ca="1">IFERROR(__xludf.DUMMYFUNCTION("""COMPUTED_VALUE"""),"Patypan")</f>
        <v>Patypan</v>
      </c>
      <c r="D218" s="64" t="str">
        <f ca="1">IFERROR(__xludf.DUMMYFUNCTION("""COMPUTED_VALUE"""),"Refrea")</f>
        <v>Refrea</v>
      </c>
      <c r="E218" s="64" t="str">
        <f ca="1">IFERROR(__xludf.DUMMYFUNCTION("""COMPUTED_VALUE"""),"Cria uma luz que imobiliza os zumbis abaixo dela temporariamente.")</f>
        <v>Cria uma luz que imobiliza os zumbis abaixo dela temporariamente.</v>
      </c>
      <c r="F218" s="64">
        <f ca="1">IFERROR(__xludf.DUMMYFUNCTION("""COMPUTED_VALUE"""),25)</f>
        <v>25</v>
      </c>
      <c r="G218" s="64">
        <f ca="1">IFERROR(__xludf.DUMMYFUNCTION("""COMPUTED_VALUE"""),300)</f>
        <v>300</v>
      </c>
      <c r="H218" s="64">
        <f ca="1">IFERROR(__xludf.DUMMYFUNCTION("""COMPUTED_VALUE"""),0)</f>
        <v>0</v>
      </c>
      <c r="I218" s="64">
        <f ca="1">IFERROR(__xludf.DUMMYFUNCTION("""COMPUTED_VALUE"""),20)</f>
        <v>20</v>
      </c>
      <c r="J218" s="64" t="str">
        <f ca="1">IFERROR(__xludf.DUMMYFUNCTION("""COMPUTED_VALUE"""),"Saucer unleashes light rays to stun all zombies on the lawn for 10 seconds.")</f>
        <v>Saucer unleashes light rays to stun all zombies on the lawn for 10 seconds.</v>
      </c>
      <c r="K218" s="64"/>
      <c r="L218" s="64"/>
      <c r="M218" s="64" t="b">
        <f ca="1">IFERROR(__xludf.DUMMYFUNCTION("""COMPUTED_VALUE"""),TRUE)</f>
        <v>1</v>
      </c>
      <c r="N218" s="64" t="b">
        <f ca="1">IFERROR(__xludf.DUMMYFUNCTION("""COMPUTED_VALUE"""),FALSE)</f>
        <v>0</v>
      </c>
      <c r="O218" s="64">
        <f ca="1">IFERROR(__xludf.DUMMYFUNCTION("""COMPUTED_VALUE"""),0)</f>
        <v>0</v>
      </c>
      <c r="P218" s="64" t="str">
        <f ca="1">IFERROR(__xludf.DUMMYFUNCTION("""COMPUTED_VALUE"""),"Uncommon")</f>
        <v>Uncommon</v>
      </c>
      <c r="Q218" s="64" t="str">
        <f ca="1">IFERROR(__xludf.DUMMYFUNCTION("""COMPUTED_VALUE"""),"flying")</f>
        <v>flying</v>
      </c>
      <c r="R218" s="64" t="str">
        <f ca="1">IFERROR(__xludf.DUMMYFUNCTION("""COMPUTED_VALUE"""),"Vegetable")</f>
        <v>Vegetable</v>
      </c>
      <c r="S218" s="64" t="str">
        <f ca="1">IFERROR(__xludf.DUMMYFUNCTION("""COMPUTED_VALUE"""),"Chinese Natural")</f>
        <v>Chinese Natural</v>
      </c>
      <c r="T218" s="64" t="str">
        <f ca="1">IFERROR(__xludf.DUMMYFUNCTION("""COMPUTED_VALUE"""),"None")</f>
        <v>None</v>
      </c>
      <c r="U218" s="64" t="str">
        <f ca="1">IFERROR(__xludf.DUMMYFUNCTION("""COMPUTED_VALUE"""),"None")</f>
        <v>None</v>
      </c>
      <c r="V218" s="64" t="str">
        <f ca="1">IFERROR(__xludf.DUMMYFUNCTION("""COMPUTED_VALUE"""),"---")</f>
        <v>---</v>
      </c>
      <c r="W218" s="64" t="str">
        <f ca="1">IFERROR(__xludf.DUMMYFUNCTION("""COMPUTED_VALUE"""),"Special")</f>
        <v>Special</v>
      </c>
      <c r="X218" s="64" t="str">
        <f ca="1">IFERROR(__xludf.DUMMYFUNCTION("""COMPUTED_VALUE"""),"PvZ 2 Chinease")</f>
        <v>PvZ 2 Chinease</v>
      </c>
      <c r="Y218" s="65" t="str">
        <f ca="1">IFERROR(__xludf.DUMMYFUNCTION("""COMPUTED_VALUE"""),"https://static.wikia.nocookie.net/plantsvszombies/images/f/f3/Saucer2.png/revision/latest?cb=20221226045102")</f>
        <v>https://static.wikia.nocookie.net/plantsvszombies/images/f/f3/Saucer2.png/revision/latest?cb=20221226045102</v>
      </c>
    </row>
    <row r="219" spans="1:25" x14ac:dyDescent="0.2">
      <c r="A219" s="64">
        <f ca="1">IFERROR(__xludf.DUMMYFUNCTION("""COMPUTED_VALUE"""),15)</f>
        <v>15</v>
      </c>
      <c r="B219" s="64" t="str">
        <f ca="1">IFERROR(__xludf.DUMMYFUNCTION("""COMPUTED_VALUE"""),"Horsebean")</f>
        <v>Horsebean</v>
      </c>
      <c r="C219" s="64" t="str">
        <f ca="1">IFERROR(__xludf.DUMMYFUNCTION("""COMPUTED_VALUE"""),"Fava")</f>
        <v>Fava</v>
      </c>
      <c r="D219" s="64" t="str">
        <f ca="1">IFERROR(__xludf.DUMMYFUNCTION("""COMPUTED_VALUE"""),"Dispara")</f>
        <v>Dispara</v>
      </c>
      <c r="E219" s="64" t="str">
        <f ca="1">IFERROR(__xludf.DUMMYFUNCTION("""COMPUTED_VALUE"""),"Ataca zumbis.")</f>
        <v>Ataca zumbis.</v>
      </c>
      <c r="F219" s="64">
        <f ca="1">IFERROR(__xludf.DUMMYFUNCTION("""COMPUTED_VALUE"""),450)</f>
        <v>450</v>
      </c>
      <c r="G219" s="64">
        <f ca="1">IFERROR(__xludf.DUMMYFUNCTION("""COMPUTED_VALUE"""),300)</f>
        <v>300</v>
      </c>
      <c r="H219" s="64">
        <f ca="1">IFERROR(__xludf.DUMMYFUNCTION("""COMPUTED_VALUE"""),50)</f>
        <v>50</v>
      </c>
      <c r="I219" s="64">
        <f ca="1">IFERROR(__xludf.DUMMYFUNCTION("""COMPUTED_VALUE"""),10)</f>
        <v>10</v>
      </c>
      <c r="J219" s="64" t="str">
        <f ca="1">IFERROR(__xludf.DUMMYFUNCTION("""COMPUTED_VALUE"""),"Fava teammate number is temporarily increased to 6, range is temporarily full-screen, resting time is temporarily shortend to 10 seconds, lasting 60 seconds.")</f>
        <v>Fava teammate number is temporarily increased to 6, range is temporarily full-screen, resting time is temporarily shortend to 10 seconds, lasting 60 seconds.</v>
      </c>
      <c r="K219" s="64"/>
      <c r="L219" s="64" t="str">
        <f ca="1">IFERROR(__xludf.DUMMYFUNCTION("""COMPUTED_VALUE"""),"Special - Horsebean fighters attack nearby zombies")</f>
        <v>Special - Horsebean fighters attack nearby zombies</v>
      </c>
      <c r="M219" s="64" t="b">
        <f ca="1">IFERROR(__xludf.DUMMYFUNCTION("""COMPUTED_VALUE"""),FALSE)</f>
        <v>0</v>
      </c>
      <c r="N219" s="64" t="b">
        <f ca="1">IFERROR(__xludf.DUMMYFUNCTION("""COMPUTED_VALUE"""),FALSE)</f>
        <v>0</v>
      </c>
      <c r="O219" s="64">
        <f ca="1">IFERROR(__xludf.DUMMYFUNCTION("""COMPUTED_VALUE"""),0)</f>
        <v>0</v>
      </c>
      <c r="P219" s="64" t="str">
        <f ca="1">IFERROR(__xludf.DUMMYFUNCTION("""COMPUTED_VALUE"""),"Epic")</f>
        <v>Epic</v>
      </c>
      <c r="Q219" s="64" t="str">
        <f ca="1">IFERROR(__xludf.DUMMYFUNCTION("""COMPUTED_VALUE"""),"flying")</f>
        <v>flying</v>
      </c>
      <c r="R219" s="64" t="str">
        <f ca="1">IFERROR(__xludf.DUMMYFUNCTION("""COMPUTED_VALUE"""),"Pea")</f>
        <v>Pea</v>
      </c>
      <c r="S219" s="64" t="str">
        <f ca="1">IFERROR(__xludf.DUMMYFUNCTION("""COMPUTED_VALUE"""),"Chinese Natural")</f>
        <v>Chinese Natural</v>
      </c>
      <c r="T219" s="64" t="str">
        <f ca="1">IFERROR(__xludf.DUMMYFUNCTION("""COMPUTED_VALUE"""),"None")</f>
        <v>None</v>
      </c>
      <c r="U219" s="64" t="str">
        <f ca="1">IFERROR(__xludf.DUMMYFUNCTION("""COMPUTED_VALUE"""),"None")</f>
        <v>None</v>
      </c>
      <c r="V219" s="64" t="str">
        <f ca="1">IFERROR(__xludf.DUMMYFUNCTION("""COMPUTED_VALUE"""),"---")</f>
        <v>---</v>
      </c>
      <c r="W219" s="64" t="str">
        <f ca="1">IFERROR(__xludf.DUMMYFUNCTION("""COMPUTED_VALUE"""),"Ranged")</f>
        <v>Ranged</v>
      </c>
      <c r="X219" s="64" t="str">
        <f ca="1">IFERROR(__xludf.DUMMYFUNCTION("""COMPUTED_VALUE"""),"PvZ 2 Chinease")</f>
        <v>PvZ 2 Chinease</v>
      </c>
      <c r="Y219" s="65" t="str">
        <f ca="1">IFERROR(__xludf.DUMMYFUNCTION("""COMPUTED_VALUE"""),"https://static.wikia.nocookie.net/plantsvszombies/images/6/63/Horsebean2.png/revision/latest?cb=20221226045045")</f>
        <v>https://static.wikia.nocookie.net/plantsvszombies/images/6/63/Horsebean2.png/revision/latest?cb=20221226045045</v>
      </c>
    </row>
    <row r="220" spans="1:25" x14ac:dyDescent="0.2">
      <c r="A220" s="64">
        <f ca="1">IFERROR(__xludf.DUMMYFUNCTION("""COMPUTED_VALUE"""),16)</f>
        <v>16</v>
      </c>
      <c r="B220" s="64" t="str">
        <f ca="1">IFERROR(__xludf.DUMMYFUNCTION("""COMPUTED_VALUE"""),"Groundcherry")</f>
        <v>Groundcherry</v>
      </c>
      <c r="C220" s="64" t="str">
        <f ca="1">IFERROR(__xludf.DUMMYFUNCTION("""COMPUTED_VALUE"""),"Camapu")</f>
        <v>Camapu</v>
      </c>
      <c r="D220" s="64" t="str">
        <f ca="1">IFERROR(__xludf.DUMMYFUNCTION("""COMPUTED_VALUE"""),"Refrea")</f>
        <v>Refrea</v>
      </c>
      <c r="E220" s="64" t="str">
        <f ca="1">IFERROR(__xludf.DUMMYFUNCTION("""COMPUTED_VALUE"""),"Faz os zumbis invisiveis, visiveis.")</f>
        <v>Faz os zumbis invisiveis, visiveis.</v>
      </c>
      <c r="F220" s="64">
        <f ca="1">IFERROR(__xludf.DUMMYFUNCTION("""COMPUTED_VALUE"""),25)</f>
        <v>25</v>
      </c>
      <c r="G220" s="64">
        <f ca="1">IFERROR(__xludf.DUMMYFUNCTION("""COMPUTED_VALUE"""),1)</f>
        <v>1</v>
      </c>
      <c r="H220" s="64">
        <f ca="1">IFERROR(__xludf.DUMMYFUNCTION("""COMPUTED_VALUE"""),0)</f>
        <v>0</v>
      </c>
      <c r="I220" s="64">
        <f ca="1">IFERROR(__xludf.DUMMYFUNCTION("""COMPUTED_VALUE"""),20)</f>
        <v>20</v>
      </c>
      <c r="J220" s="64" t="str">
        <f ca="1">IFERROR(__xludf.DUMMYFUNCTION("""COMPUTED_VALUE"""),"Immediately reveals all invisible units.")</f>
        <v>Immediately reveals all invisible units.</v>
      </c>
      <c r="K220" s="64"/>
      <c r="L220" s="64" t="str">
        <f ca="1">IFERROR(__xludf.DUMMYFUNCTION("""COMPUTED_VALUE"""),"Special - Limited lifespan, invulnerable")</f>
        <v>Special - Limited lifespan, invulnerable</v>
      </c>
      <c r="M220" s="64" t="b">
        <f ca="1">IFERROR(__xludf.DUMMYFUNCTION("""COMPUTED_VALUE"""),TRUE)</f>
        <v>1</v>
      </c>
      <c r="N220" s="64" t="b">
        <f ca="1">IFERROR(__xludf.DUMMYFUNCTION("""COMPUTED_VALUE"""),FALSE)</f>
        <v>0</v>
      </c>
      <c r="O220" s="64">
        <f ca="1">IFERROR(__xludf.DUMMYFUNCTION("""COMPUTED_VALUE"""),0)</f>
        <v>0</v>
      </c>
      <c r="P220" s="64" t="str">
        <f ca="1">IFERROR(__xludf.DUMMYFUNCTION("""COMPUTED_VALUE"""),"Common")</f>
        <v>Common</v>
      </c>
      <c r="Q220" s="64" t="str">
        <f ca="1">IFERROR(__xludf.DUMMYFUNCTION("""COMPUTED_VALUE"""),"flying, area-effect")</f>
        <v>flying, area-effect</v>
      </c>
      <c r="R220" s="64" t="str">
        <f ca="1">IFERROR(__xludf.DUMMYFUNCTION("""COMPUTED_VALUE"""),"Berry")</f>
        <v>Berry</v>
      </c>
      <c r="S220" s="64" t="str">
        <f ca="1">IFERROR(__xludf.DUMMYFUNCTION("""COMPUTED_VALUE"""),"Chinese Natural")</f>
        <v>Chinese Natural</v>
      </c>
      <c r="T220" s="64" t="str">
        <f ca="1">IFERROR(__xludf.DUMMYFUNCTION("""COMPUTED_VALUE"""),"None")</f>
        <v>None</v>
      </c>
      <c r="U220" s="64" t="str">
        <f ca="1">IFERROR(__xludf.DUMMYFUNCTION("""COMPUTED_VALUE"""),"None")</f>
        <v>None</v>
      </c>
      <c r="V220" s="64" t="str">
        <f ca="1">IFERROR(__xludf.DUMMYFUNCTION("""COMPUTED_VALUE"""),"---")</f>
        <v>---</v>
      </c>
      <c r="W220" s="64" t="str">
        <f ca="1">IFERROR(__xludf.DUMMYFUNCTION("""COMPUTED_VALUE"""),"Special")</f>
        <v>Special</v>
      </c>
      <c r="X220" s="64" t="str">
        <f ca="1">IFERROR(__xludf.DUMMYFUNCTION("""COMPUTED_VALUE"""),"PvZ 2 Chinease")</f>
        <v>PvZ 2 Chinease</v>
      </c>
      <c r="Y220" s="65" t="str">
        <f ca="1">IFERROR(__xludf.DUMMYFUNCTION("""COMPUTED_VALUE"""),"https://static.wikia.nocookie.net/plantsvszombies/images/2/2e/Groundcherry2.png/revision/latest?cb=20221226045026")</f>
        <v>https://static.wikia.nocookie.net/plantsvszombies/images/2/2e/Groundcherry2.png/revision/latest?cb=20221226045026</v>
      </c>
    </row>
    <row r="221" spans="1:25" x14ac:dyDescent="0.2">
      <c r="A221" s="64">
        <f ca="1">IFERROR(__xludf.DUMMYFUNCTION("""COMPUTED_VALUE"""),17)</f>
        <v>17</v>
      </c>
      <c r="B221" s="64" t="str">
        <f ca="1">IFERROR(__xludf.DUMMYFUNCTION("""COMPUTED_VALUE"""),"Anthurium")</f>
        <v>Anthurium</v>
      </c>
      <c r="C221" s="64" t="str">
        <f ca="1">IFERROR(__xludf.DUMMYFUNCTION("""COMPUTED_VALUE"""),"Antúrio")</f>
        <v>Antúrio</v>
      </c>
      <c r="D221" s="64" t="str">
        <f ca="1">IFERROR(__xludf.DUMMYFUNCTION("""COMPUTED_VALUE"""),"Fila")</f>
        <v>Fila</v>
      </c>
      <c r="E221" s="64" t="str">
        <f ca="1">IFERROR(__xludf.DUMMYFUNCTION("""COMPUTED_VALUE"""),"Absorve raios e remove cargas de plantas em área, e ataca os zumbis.")</f>
        <v>Absorve raios e remove cargas de plantas em área, e ataca os zumbis.</v>
      </c>
      <c r="F221" s="64">
        <f ca="1">IFERROR(__xludf.DUMMYFUNCTION("""COMPUTED_VALUE"""),150)</f>
        <v>150</v>
      </c>
      <c r="G221" s="64">
        <f ca="1">IFERROR(__xludf.DUMMYFUNCTION("""COMPUTED_VALUE"""),300)</f>
        <v>300</v>
      </c>
      <c r="H221" s="64">
        <f ca="1">IFERROR(__xludf.DUMMYFUNCTION("""COMPUTED_VALUE"""),30)</f>
        <v>30</v>
      </c>
      <c r="I221" s="64">
        <f ca="1">IFERROR(__xludf.DUMMYFUNCTION("""COMPUTED_VALUE"""),5)</f>
        <v>5</v>
      </c>
      <c r="J221" s="64" t="str">
        <f ca="1">IFERROR(__xludf.DUMMYFUNCTION("""COMPUTED_VALUE"""),"Absorbs all electric charges on the lawn, randomly damages three units.")</f>
        <v>Absorbs all electric charges on the lawn, randomly damages three units.</v>
      </c>
      <c r="K221" s="64"/>
      <c r="L221" s="64" t="str">
        <f ca="1">IFERROR(__xludf.DUMMYFUNCTION("""COMPUTED_VALUE"""),"Special - Absorbs lightning from surrounding plants")</f>
        <v>Special - Absorbs lightning from surrounding plants</v>
      </c>
      <c r="M221" s="64" t="b">
        <f ca="1">IFERROR(__xludf.DUMMYFUNCTION("""COMPUTED_VALUE"""),FALSE)</f>
        <v>0</v>
      </c>
      <c r="N221" s="64" t="b">
        <f ca="1">IFERROR(__xludf.DUMMYFUNCTION("""COMPUTED_VALUE"""),FALSE)</f>
        <v>0</v>
      </c>
      <c r="O221" s="64">
        <f ca="1">IFERROR(__xludf.DUMMYFUNCTION("""COMPUTED_VALUE"""),0)</f>
        <v>0</v>
      </c>
      <c r="P221" s="64" t="str">
        <f ca="1">IFERROR(__xludf.DUMMYFUNCTION("""COMPUTED_VALUE"""),"Uncommon")</f>
        <v>Uncommon</v>
      </c>
      <c r="Q221" s="64" t="str">
        <f ca="1">IFERROR(__xludf.DUMMYFUNCTION("""COMPUTED_VALUE"""),"area-effect")</f>
        <v>area-effect</v>
      </c>
      <c r="R221" s="64" t="str">
        <f ca="1">IFERROR(__xludf.DUMMYFUNCTION("""COMPUTED_VALUE"""),"Flower")</f>
        <v>Flower</v>
      </c>
      <c r="S221" s="64" t="str">
        <f ca="1">IFERROR(__xludf.DUMMYFUNCTION("""COMPUTED_VALUE"""),"Chinese Natural")</f>
        <v>Chinese Natural</v>
      </c>
      <c r="T221" s="64" t="str">
        <f ca="1">IFERROR(__xludf.DUMMYFUNCTION("""COMPUTED_VALUE"""),"None")</f>
        <v>None</v>
      </c>
      <c r="U221" s="64" t="str">
        <f ca="1">IFERROR(__xludf.DUMMYFUNCTION("""COMPUTED_VALUE"""),"None")</f>
        <v>None</v>
      </c>
      <c r="V221" s="64" t="str">
        <f ca="1">IFERROR(__xludf.DUMMYFUNCTION("""COMPUTED_VALUE"""),"---")</f>
        <v>---</v>
      </c>
      <c r="W221" s="64" t="str">
        <f ca="1">IFERROR(__xludf.DUMMYFUNCTION("""COMPUTED_VALUE"""),"Ranged")</f>
        <v>Ranged</v>
      </c>
      <c r="X221" s="64" t="str">
        <f ca="1">IFERROR(__xludf.DUMMYFUNCTION("""COMPUTED_VALUE"""),"PvZ 2 Chinease")</f>
        <v>PvZ 2 Chinease</v>
      </c>
      <c r="Y221" s="65" t="str">
        <f ca="1">IFERROR(__xludf.DUMMYFUNCTION("""COMPUTED_VALUE"""),"https://static.wikia.nocookie.net/plantsvszombies/images/3/3f/Anthurium2.png/revision/latest?cb=20221226044948")</f>
        <v>https://static.wikia.nocookie.net/plantsvszombies/images/3/3f/Anthurium2.png/revision/latest?cb=20221226044948</v>
      </c>
    </row>
    <row r="222" spans="1:25" x14ac:dyDescent="0.2">
      <c r="A222" s="64">
        <f ca="1">IFERROR(__xludf.DUMMYFUNCTION("""COMPUTED_VALUE"""),18)</f>
        <v>18</v>
      </c>
      <c r="B222" s="64" t="str">
        <f ca="1">IFERROR(__xludf.DUMMYFUNCTION("""COMPUTED_VALUE"""),"Pineapple")</f>
        <v>Pineapple</v>
      </c>
      <c r="C222" s="64" t="str">
        <f ca="1">IFERROR(__xludf.DUMMYFUNCTION("""COMPUTED_VALUE"""),"Ananas")</f>
        <v>Ananas</v>
      </c>
      <c r="D222" s="64" t="str">
        <f ca="1">IFERROR(__xludf.DUMMYFUNCTION("""COMPUTED_VALUE"""),"Endurecida")</f>
        <v>Endurecida</v>
      </c>
      <c r="E222" s="64" t="str">
        <f ca="1">IFERROR(__xludf.DUMMYFUNCTION("""COMPUTED_VALUE"""),"Impede zumbis e afasta balas girando seu corpo.")</f>
        <v>Impede zumbis e afasta balas girando seu corpo.</v>
      </c>
      <c r="F222" s="64">
        <f ca="1">IFERROR(__xludf.DUMMYFUNCTION("""COMPUTED_VALUE"""),75)</f>
        <v>75</v>
      </c>
      <c r="G222" s="64">
        <f ca="1">IFERROR(__xludf.DUMMYFUNCTION("""COMPUTED_VALUE"""),4000)</f>
        <v>4000</v>
      </c>
      <c r="H222" s="64">
        <f ca="1">IFERROR(__xludf.DUMMYFUNCTION("""COMPUTED_VALUE"""),0)</f>
        <v>0</v>
      </c>
      <c r="I222" s="64">
        <f ca="1">IFERROR(__xludf.DUMMYFUNCTION("""COMPUTED_VALUE"""),20)</f>
        <v>20</v>
      </c>
      <c r="J222" s="64" t="str">
        <f ca="1">IFERROR(__xludf.DUMMYFUNCTION("""COMPUTED_VALUE"""),"Pineapple starts spinning at high speed, reflecting projectiles for 4 seconds.")</f>
        <v>Pineapple starts spinning at high speed, reflecting projectiles for 4 seconds.</v>
      </c>
      <c r="K222" s="64"/>
      <c r="L222" s="64" t="str">
        <f ca="1">IFERROR(__xludf.DUMMYFUNCTION("""COMPUTED_VALUE"""),"Special - His spin can reflect bullets")</f>
        <v>Special - His spin can reflect bullets</v>
      </c>
      <c r="M222" s="64" t="b">
        <f ca="1">IFERROR(__xludf.DUMMYFUNCTION("""COMPUTED_VALUE"""),FALSE)</f>
        <v>0</v>
      </c>
      <c r="N222" s="64" t="b">
        <f ca="1">IFERROR(__xludf.DUMMYFUNCTION("""COMPUTED_VALUE"""),FALSE)</f>
        <v>0</v>
      </c>
      <c r="O222" s="64">
        <f ca="1">IFERROR(__xludf.DUMMYFUNCTION("""COMPUTED_VALUE"""),0)</f>
        <v>0</v>
      </c>
      <c r="P222" s="64" t="str">
        <f ca="1">IFERROR(__xludf.DUMMYFUNCTION("""COMPUTED_VALUE"""),"Uncommon")</f>
        <v>Uncommon</v>
      </c>
      <c r="Q222" s="64" t="str">
        <f ca="1">IFERROR(__xludf.DUMMYFUNCTION("""COMPUTED_VALUE"""),"flying, tornado")</f>
        <v>flying, tornado</v>
      </c>
      <c r="R222" s="64" t="str">
        <f ca="1">IFERROR(__xludf.DUMMYFUNCTION("""COMPUTED_VALUE"""),"Fruit")</f>
        <v>Fruit</v>
      </c>
      <c r="S222" s="64" t="str">
        <f ca="1">IFERROR(__xludf.DUMMYFUNCTION("""COMPUTED_VALUE"""),"Chinese Natural")</f>
        <v>Chinese Natural</v>
      </c>
      <c r="T222" s="64" t="str">
        <f ca="1">IFERROR(__xludf.DUMMYFUNCTION("""COMPUTED_VALUE"""),"None")</f>
        <v>None</v>
      </c>
      <c r="U222" s="64" t="str">
        <f ca="1">IFERROR(__xludf.DUMMYFUNCTION("""COMPUTED_VALUE"""),"None")</f>
        <v>None</v>
      </c>
      <c r="V222" s="64" t="str">
        <f ca="1">IFERROR(__xludf.DUMMYFUNCTION("""COMPUTED_VALUE"""),"---")</f>
        <v>---</v>
      </c>
      <c r="W222" s="64" t="str">
        <f ca="1">IFERROR(__xludf.DUMMYFUNCTION("""COMPUTED_VALUE"""),"Tough")</f>
        <v>Tough</v>
      </c>
      <c r="X222" s="64" t="str">
        <f ca="1">IFERROR(__xludf.DUMMYFUNCTION("""COMPUTED_VALUE"""),"PvZ 2 Chinease")</f>
        <v>PvZ 2 Chinease</v>
      </c>
      <c r="Y222" s="65" t="str">
        <f ca="1">IFERROR(__xludf.DUMMYFUNCTION("""COMPUTED_VALUE"""),"https://static.wikia.nocookie.net/plantsvszombies/images/f/f7/Pineapple2.png/revision/latest?cb=20221226013615")</f>
        <v>https://static.wikia.nocookie.net/plantsvszombies/images/f/f7/Pineapple2.png/revision/latest?cb=20221226013615</v>
      </c>
    </row>
    <row r="223" spans="1:25" x14ac:dyDescent="0.2">
      <c r="A223" s="64">
        <f ca="1">IFERROR(__xludf.DUMMYFUNCTION("""COMPUTED_VALUE"""),19)</f>
        <v>19</v>
      </c>
      <c r="B223" s="64" t="str">
        <f ca="1">IFERROR(__xludf.DUMMYFUNCTION("""COMPUTED_VALUE"""),"Jackfruit")</f>
        <v>Jackfruit</v>
      </c>
      <c r="C223" s="64" t="str">
        <f ca="1">IFERROR(__xludf.DUMMYFUNCTION("""COMPUTED_VALUE"""),"Jaca")</f>
        <v>Jaca</v>
      </c>
      <c r="D223" s="64" t="str">
        <f ca="1">IFERROR(__xludf.DUMMYFUNCTION("""COMPUTED_VALUE"""),"Refrea")</f>
        <v>Refrea</v>
      </c>
      <c r="E223" s="64" t="str">
        <f ca="1">IFERROR(__xludf.DUMMYFUNCTION("""COMPUTED_VALUE"""),"Rola para frente, enquanto rola, também é capaz de cobrir passagens abertas.")</f>
        <v>Rola para frente, enquanto rola, também é capaz de cobrir passagens abertas.</v>
      </c>
      <c r="F223" s="64">
        <f ca="1">IFERROR(__xludf.DUMMYFUNCTION("""COMPUTED_VALUE"""),75)</f>
        <v>75</v>
      </c>
      <c r="G223" s="64">
        <f ca="1">IFERROR(__xludf.DUMMYFUNCTION("""COMPUTED_VALUE"""),1)</f>
        <v>1</v>
      </c>
      <c r="H223" s="64">
        <f ca="1">IFERROR(__xludf.DUMMYFUNCTION("""COMPUTED_VALUE"""),5)</f>
        <v>5</v>
      </c>
      <c r="I223" s="64">
        <f ca="1">IFERROR(__xludf.DUMMYFUNCTION("""COMPUTED_VALUE"""),20)</f>
        <v>20</v>
      </c>
      <c r="J223" s="64" t="str">
        <f ca="1">IFERROR(__xludf.DUMMYFUNCTION("""COMPUTED_VALUE"""),"No plant effect")</f>
        <v>No plant effect</v>
      </c>
      <c r="K223" s="64"/>
      <c r="L223" s="64" t="str">
        <f ca="1">IFERROR(__xludf.DUMMYFUNCTION("""COMPUTED_VALUE"""),"Special - 
Bonus damage to zombies with protective headgear")</f>
        <v>Special - 
Bonus damage to zombies with protective headgear</v>
      </c>
      <c r="M223" s="64" t="b">
        <f ca="1">IFERROR(__xludf.DUMMYFUNCTION("""COMPUTED_VALUE"""),TRUE)</f>
        <v>1</v>
      </c>
      <c r="N223" s="64" t="b">
        <f ca="1">IFERROR(__xludf.DUMMYFUNCTION("""COMPUTED_VALUE"""),TRUE)</f>
        <v>1</v>
      </c>
      <c r="O223" s="64">
        <f ca="1">IFERROR(__xludf.DUMMYFUNCTION("""COMPUTED_VALUE"""),0)</f>
        <v>0</v>
      </c>
      <c r="P223" s="64" t="str">
        <f ca="1">IFERROR(__xludf.DUMMYFUNCTION("""COMPUTED_VALUE"""),"Uncommon")</f>
        <v>Uncommon</v>
      </c>
      <c r="Q223" s="64"/>
      <c r="R223" s="64" t="str">
        <f ca="1">IFERROR(__xludf.DUMMYFUNCTION("""COMPUTED_VALUE"""),"Fruit")</f>
        <v>Fruit</v>
      </c>
      <c r="S223" s="64" t="str">
        <f ca="1">IFERROR(__xludf.DUMMYFUNCTION("""COMPUTED_VALUE"""),"Chinese Natural")</f>
        <v>Chinese Natural</v>
      </c>
      <c r="T223" s="64" t="str">
        <f ca="1">IFERROR(__xludf.DUMMYFUNCTION("""COMPUTED_VALUE"""),"None")</f>
        <v>None</v>
      </c>
      <c r="U223" s="64" t="str">
        <f ca="1">IFERROR(__xludf.DUMMYFUNCTION("""COMPUTED_VALUE"""),"None")</f>
        <v>None</v>
      </c>
      <c r="V223" s="64" t="str">
        <f ca="1">IFERROR(__xludf.DUMMYFUNCTION("""COMPUTED_VALUE"""),"jackfruit")</f>
        <v>jackfruit</v>
      </c>
      <c r="W223" s="64" t="str">
        <f ca="1">IFERROR(__xludf.DUMMYFUNCTION("""COMPUTED_VALUE"""),"Special")</f>
        <v>Special</v>
      </c>
      <c r="X223" s="64" t="str">
        <f ca="1">IFERROR(__xludf.DUMMYFUNCTION("""COMPUTED_VALUE"""),"PvZ 2 Chinease")</f>
        <v>PvZ 2 Chinease</v>
      </c>
      <c r="Y223" s="65" t="str">
        <f ca="1">IFERROR(__xludf.DUMMYFUNCTION("""COMPUTED_VALUE"""),"https://static.wikia.nocookie.net/plantsvszombies/images/c/c1/Jackfruit2.png/revision/latest?cb=20160122031402")</f>
        <v>https://static.wikia.nocookie.net/plantsvszombies/images/c/c1/Jackfruit2.png/revision/latest?cb=20160122031402</v>
      </c>
    </row>
    <row r="224" spans="1:25" x14ac:dyDescent="0.2">
      <c r="A224" s="64">
        <f ca="1">IFERROR(__xludf.DUMMYFUNCTION("""COMPUTED_VALUE"""),20)</f>
        <v>20</v>
      </c>
      <c r="B224" s="64" t="str">
        <f ca="1">IFERROR(__xludf.DUMMYFUNCTION("""COMPUTED_VALUE"""),"Morning Glory")</f>
        <v>Morning Glory</v>
      </c>
      <c r="C224" s="64" t="str">
        <f ca="1">IFERROR(__xludf.DUMMYFUNCTION("""COMPUTED_VALUE"""),"Glória da manhã")</f>
        <v>Glória da manhã</v>
      </c>
      <c r="D224" s="64" t="str">
        <f ca="1">IFERROR(__xludf.DUMMYFUNCTION("""COMPUTED_VALUE"""),"Dispara")</f>
        <v>Dispara</v>
      </c>
      <c r="E224" s="64" t="str">
        <f ca="1">IFERROR(__xludf.DUMMYFUNCTION("""COMPUTED_VALUE"""),"Ataca com poderosas ondas sonoras.")</f>
        <v>Ataca com poderosas ondas sonoras.</v>
      </c>
      <c r="F224" s="64">
        <f ca="1">IFERROR(__xludf.DUMMYFUNCTION("""COMPUTED_VALUE"""),375)</f>
        <v>375</v>
      </c>
      <c r="G224" s="64">
        <f ca="1">IFERROR(__xludf.DUMMYFUNCTION("""COMPUTED_VALUE"""),300)</f>
        <v>300</v>
      </c>
      <c r="H224" s="64">
        <f ca="1">IFERROR(__xludf.DUMMYFUNCTION("""COMPUTED_VALUE"""),200)</f>
        <v>200</v>
      </c>
      <c r="I224" s="64">
        <f ca="1">IFERROR(__xludf.DUMMYFUNCTION("""COMPUTED_VALUE"""),45784)</f>
        <v>45784</v>
      </c>
      <c r="J224" s="64" t="str">
        <f ca="1">IFERROR(__xludf.DUMMYFUNCTION("""COMPUTED_VALUE"""),"Launches a single-tile large sound barrier, pushing zombies to three tiles to the right of Morning Glory, dealing damage for 6 seconds.")</f>
        <v>Launches a single-tile large sound barrier, pushing zombies to three tiles to the right of Morning Glory, dealing damage for 6 seconds.</v>
      </c>
      <c r="K224" s="64"/>
      <c r="L224" s="64" t="str">
        <f ca="1">IFERROR(__xludf.DUMMYFUNCTION("""COMPUTED_VALUE"""),"Special - Reflects zombies' sound projectiles, after it levels up, Morning Glories will combine their power to increase their attack.")</f>
        <v>Special - Reflects zombies' sound projectiles, after it levels up, Morning Glories will combine their power to increase their attack.</v>
      </c>
      <c r="M224" s="64" t="b">
        <f ca="1">IFERROR(__xludf.DUMMYFUNCTION("""COMPUTED_VALUE"""),FALSE)</f>
        <v>0</v>
      </c>
      <c r="N224" s="64" t="b">
        <f ca="1">IFERROR(__xludf.DUMMYFUNCTION("""COMPUTED_VALUE"""),FALSE)</f>
        <v>0</v>
      </c>
      <c r="O224" s="64">
        <f ca="1">IFERROR(__xludf.DUMMYFUNCTION("""COMPUTED_VALUE"""),0)</f>
        <v>0</v>
      </c>
      <c r="P224" s="64" t="str">
        <f ca="1">IFERROR(__xludf.DUMMYFUNCTION("""COMPUTED_VALUE"""),"Legendary")</f>
        <v>Legendary</v>
      </c>
      <c r="Q224" s="64" t="str">
        <f ca="1">IFERROR(__xludf.DUMMYFUNCTION("""COMPUTED_VALUE"""),"orchestra")</f>
        <v>orchestra</v>
      </c>
      <c r="R224" s="64" t="str">
        <f ca="1">IFERROR(__xludf.DUMMYFUNCTION("""COMPUTED_VALUE"""),"Flower")</f>
        <v>Flower</v>
      </c>
      <c r="S224" s="64" t="str">
        <f ca="1">IFERROR(__xludf.DUMMYFUNCTION("""COMPUTED_VALUE"""),"Chinese Natural")</f>
        <v>Chinese Natural</v>
      </c>
      <c r="T224" s="64" t="str">
        <f ca="1">IFERROR(__xludf.DUMMYFUNCTION("""COMPUTED_VALUE"""),"None")</f>
        <v>None</v>
      </c>
      <c r="U224" s="64" t="str">
        <f ca="1">IFERROR(__xludf.DUMMYFUNCTION("""COMPUTED_VALUE"""),"None")</f>
        <v>None</v>
      </c>
      <c r="V224" s="64" t="str">
        <f ca="1">IFERROR(__xludf.DUMMYFUNCTION("""COMPUTED_VALUE"""),"morningglory")</f>
        <v>morningglory</v>
      </c>
      <c r="W224" s="64" t="str">
        <f ca="1">IFERROR(__xludf.DUMMYFUNCTION("""COMPUTED_VALUE"""),"Ranged")</f>
        <v>Ranged</v>
      </c>
      <c r="X224" s="64" t="str">
        <f ca="1">IFERROR(__xludf.DUMMYFUNCTION("""COMPUTED_VALUE"""),"PvZ 2 Chinease, PvZ Heroes")</f>
        <v>PvZ 2 Chinease, PvZ Heroes</v>
      </c>
      <c r="Y224" s="65" t="str">
        <f ca="1">IFERROR(__xludf.DUMMYFUNCTION("""COMPUTED_VALUE"""),"https://static.wikia.nocookie.net/plantsvszombies/images/2/2d/Morning_Glory2.png/revision/latest?cb=20221226051932")</f>
        <v>https://static.wikia.nocookie.net/plantsvszombies/images/2/2d/Morning_Glory2.png/revision/latest?cb=20221226051932</v>
      </c>
    </row>
    <row r="225" spans="1:25" x14ac:dyDescent="0.2">
      <c r="A225" s="64">
        <f ca="1">IFERROR(__xludf.DUMMYFUNCTION("""COMPUTED_VALUE"""),21)</f>
        <v>21</v>
      </c>
      <c r="B225" s="64" t="str">
        <f ca="1">IFERROR(__xludf.DUMMYFUNCTION("""COMPUTED_VALUE"""),"Primal Rafflesia")</f>
        <v>Primal Rafflesia</v>
      </c>
      <c r="C225" s="64" t="str">
        <f ca="1">IFERROR(__xludf.DUMMYFUNCTION("""COMPUTED_VALUE"""),"Raflésia Primitiva")</f>
        <v>Raflésia Primitiva</v>
      </c>
      <c r="D225" s="64" t="str">
        <f ca="1">IFERROR(__xludf.DUMMYFUNCTION("""COMPUTED_VALUE"""),"Envenenada")</f>
        <v>Envenenada</v>
      </c>
      <c r="E225" s="64" t="str">
        <f ca="1">IFERROR(__xludf.DUMMYFUNCTION("""COMPUTED_VALUE"""),"Lança bolas de veneno que desaceleram zumbis.")</f>
        <v>Lança bolas de veneno que desaceleram zumbis.</v>
      </c>
      <c r="F225" s="64">
        <f ca="1">IFERROR(__xludf.DUMMYFUNCTION("""COMPUTED_VALUE"""),450)</f>
        <v>450</v>
      </c>
      <c r="G225" s="64">
        <f ca="1">IFERROR(__xludf.DUMMYFUNCTION("""COMPUTED_VALUE"""),300)</f>
        <v>300</v>
      </c>
      <c r="H225" s="64">
        <f ca="1">IFERROR(__xludf.DUMMYFUNCTION("""COMPUTED_VALUE"""),200)</f>
        <v>200</v>
      </c>
      <c r="I225" s="64">
        <f ca="1">IFERROR(__xludf.DUMMYFUNCTION("""COMPUTED_VALUE"""),5)</f>
        <v>5</v>
      </c>
      <c r="J225" s="64" t="str">
        <f ca="1">IFERROR(__xludf.DUMMYFUNCTION("""COMPUTED_VALUE"""),"Fires venom at at most 5 units towards the right, the goops' damage is 4 times the original, dealing splash damage in a 2×1 area.")</f>
        <v>Fires venom at at most 5 units towards the right, the goops' damage is 4 times the original, dealing splash damage in a 2×1 area.</v>
      </c>
      <c r="K225" s="64"/>
      <c r="L225" s="64" t="str">
        <f ca="1">IFERROR(__xludf.DUMMYFUNCTION("""COMPUTED_VALUE"""),"Special - When attacking zombies, leaves a puddle of venom that causes slowing effect")</f>
        <v>Special - When attacking zombies, leaves a puddle of venom that causes slowing effect</v>
      </c>
      <c r="M225" s="64" t="b">
        <f ca="1">IFERROR(__xludf.DUMMYFUNCTION("""COMPUTED_VALUE"""),FALSE)</f>
        <v>0</v>
      </c>
      <c r="N225" s="64" t="b">
        <f ca="1">IFERROR(__xludf.DUMMYFUNCTION("""COMPUTED_VALUE"""),FALSE)</f>
        <v>0</v>
      </c>
      <c r="O225" s="64">
        <f ca="1">IFERROR(__xludf.DUMMYFUNCTION("""COMPUTED_VALUE"""),0)</f>
        <v>0</v>
      </c>
      <c r="P225" s="64" t="str">
        <f ca="1">IFERROR(__xludf.DUMMYFUNCTION("""COMPUTED_VALUE"""),"Legendary")</f>
        <v>Legendary</v>
      </c>
      <c r="Q225" s="64" t="str">
        <f ca="1">IFERROR(__xludf.DUMMYFUNCTION("""COMPUTED_VALUE"""),"primal, poison, slowing")</f>
        <v>primal, poison, slowing</v>
      </c>
      <c r="R225" s="64" t="str">
        <f ca="1">IFERROR(__xludf.DUMMYFUNCTION("""COMPUTED_VALUE"""),"Flower")</f>
        <v>Flower</v>
      </c>
      <c r="S225" s="64" t="str">
        <f ca="1">IFERROR(__xludf.DUMMYFUNCTION("""COMPUTED_VALUE"""),"Chinese Natural")</f>
        <v>Chinese Natural</v>
      </c>
      <c r="T225" s="64" t="str">
        <f ca="1">IFERROR(__xludf.DUMMYFUNCTION("""COMPUTED_VALUE"""),"None")</f>
        <v>None</v>
      </c>
      <c r="U225" s="64" t="str">
        <f ca="1">IFERROR(__xludf.DUMMYFUNCTION("""COMPUTED_VALUE"""),"None")</f>
        <v>None</v>
      </c>
      <c r="V225" s="64" t="str">
        <f ca="1">IFERROR(__xludf.DUMMYFUNCTION("""COMPUTED_VALUE"""),"primalrafflesia")</f>
        <v>primalrafflesia</v>
      </c>
      <c r="W225" s="64" t="str">
        <f ca="1">IFERROR(__xludf.DUMMYFUNCTION("""COMPUTED_VALUE"""),"Ranged")</f>
        <v>Ranged</v>
      </c>
      <c r="X225" s="64" t="str">
        <f ca="1">IFERROR(__xludf.DUMMYFUNCTION("""COMPUTED_VALUE"""),"PvZ 2 Chinease")</f>
        <v>PvZ 2 Chinease</v>
      </c>
      <c r="Y225" s="65" t="str">
        <f ca="1">IFERROR(__xludf.DUMMYFUNCTION("""COMPUTED_VALUE"""),"https://static.wikia.nocookie.net/plantsvszombies/images/a/ad/Primal_Rafflesia2.png/revision/latest?cb=20221220085823")</f>
        <v>https://static.wikia.nocookie.net/plantsvszombies/images/a/ad/Primal_Rafflesia2.png/revision/latest?cb=20221220085823</v>
      </c>
    </row>
    <row r="226" spans="1:25" x14ac:dyDescent="0.2">
      <c r="A226" s="64">
        <f ca="1">IFERROR(__xludf.DUMMYFUNCTION("""COMPUTED_VALUE"""),22)</f>
        <v>22</v>
      </c>
      <c r="B226" s="64" t="str">
        <f ca="1">IFERROR(__xludf.DUMMYFUNCTION("""COMPUTED_VALUE"""),"Dino-roar Grass")</f>
        <v>Dino-roar Grass</v>
      </c>
      <c r="C226" s="64" t="str">
        <f ca="1">IFERROR(__xludf.DUMMYFUNCTION("""COMPUTED_VALUE"""),"Erva Dino-urro")</f>
        <v>Erva Dino-urro</v>
      </c>
      <c r="D226" s="64" t="str">
        <f ca="1">IFERROR(__xludf.DUMMYFUNCTION("""COMPUTED_VALUE"""),"Surra")</f>
        <v>Surra</v>
      </c>
      <c r="E226" s="64" t="str">
        <f ca="1">IFERROR(__xludf.DUMMYFUNCTION("""COMPUTED_VALUE"""),"Devora zumbis e cospe ovos indigestidos.")</f>
        <v>Devora zumbis e cospe ovos indigestidos.</v>
      </c>
      <c r="F226" s="64">
        <f ca="1">IFERROR(__xludf.DUMMYFUNCTION("""COMPUTED_VALUE"""),75)</f>
        <v>75</v>
      </c>
      <c r="G226" s="64">
        <f ca="1">IFERROR(__xludf.DUMMYFUNCTION("""COMPUTED_VALUE"""),1500)</f>
        <v>1500</v>
      </c>
      <c r="H226" s="64">
        <f ca="1">IFERROR(__xludf.DUMMYFUNCTION("""COMPUTED_VALUE"""),100)</f>
        <v>100</v>
      </c>
      <c r="I226" s="64">
        <f ca="1">IFERROR(__xludf.DUMMYFUNCTION("""COMPUTED_VALUE"""),20)</f>
        <v>20</v>
      </c>
      <c r="J226" s="64" t="str">
        <f ca="1">IFERROR(__xludf.DUMMYFUNCTION("""COMPUTED_VALUE"""),"Dino-Roar Grass roars to expel dinosaurs from Dinosaur Stampedes caused by T. Rexes, and randomly swallows 3 nearby devourable zombies.")</f>
        <v>Dino-Roar Grass roars to expel dinosaurs from Dinosaur Stampedes caused by T. Rexes, and randomly swallows 3 nearby devourable zombies.</v>
      </c>
      <c r="K226" s="64" t="str">
        <f ca="1">IFERROR(__xludf.DUMMYFUNCTION("""COMPUTED_VALUE"""),"Attack rests 20 seconds")</f>
        <v>Attack rests 20 seconds</v>
      </c>
      <c r="L226" s="64" t="str">
        <f ca="1">IFERROR(__xludf.DUMMYFUNCTION("""COMPUTED_VALUE"""),"Special - Eats delicious zombies, spits out awfully-tasting dinosaur eggs")</f>
        <v>Special - Eats delicious zombies, spits out awfully-tasting dinosaur eggs</v>
      </c>
      <c r="M226" s="64" t="b">
        <f ca="1">IFERROR(__xludf.DUMMYFUNCTION("""COMPUTED_VALUE"""),FALSE)</f>
        <v>0</v>
      </c>
      <c r="N226" s="64" t="b">
        <f ca="1">IFERROR(__xludf.DUMMYFUNCTION("""COMPUTED_VALUE"""),FALSE)</f>
        <v>0</v>
      </c>
      <c r="O226" s="64">
        <f ca="1">IFERROR(__xludf.DUMMYFUNCTION("""COMPUTED_VALUE"""),0)</f>
        <v>0</v>
      </c>
      <c r="P226" s="64" t="str">
        <f ca="1">IFERROR(__xludf.DUMMYFUNCTION("""COMPUTED_VALUE"""),"Epic")</f>
        <v>Epic</v>
      </c>
      <c r="Q226" s="64" t="str">
        <f ca="1">IFERROR(__xludf.DUMMYFUNCTION("""COMPUTED_VALUE"""),"dragon, poison, chomper")</f>
        <v>dragon, poison, chomper</v>
      </c>
      <c r="R226" s="64" t="str">
        <f ca="1">IFERROR(__xludf.DUMMYFUNCTION("""COMPUTED_VALUE"""),"Leaf")</f>
        <v>Leaf</v>
      </c>
      <c r="S226" s="64" t="str">
        <f ca="1">IFERROR(__xludf.DUMMYFUNCTION("""COMPUTED_VALUE"""),"Chinese Natural")</f>
        <v>Chinese Natural</v>
      </c>
      <c r="T226" s="64" t="str">
        <f ca="1">IFERROR(__xludf.DUMMYFUNCTION("""COMPUTED_VALUE"""),"None")</f>
        <v>None</v>
      </c>
      <c r="U226" s="64" t="str">
        <f ca="1">IFERROR(__xludf.DUMMYFUNCTION("""COMPUTED_VALUE"""),"None")</f>
        <v>None</v>
      </c>
      <c r="V226" s="64" t="str">
        <f ca="1">IFERROR(__xludf.DUMMYFUNCTION("""COMPUTED_VALUE"""),"dragonroar")</f>
        <v>dragonroar</v>
      </c>
      <c r="W226" s="64" t="str">
        <f ca="1">IFERROR(__xludf.DUMMYFUNCTION("""COMPUTED_VALUE"""),"Vanguard")</f>
        <v>Vanguard</v>
      </c>
      <c r="X226" s="64" t="str">
        <f ca="1">IFERROR(__xludf.DUMMYFUNCTION("""COMPUTED_VALUE"""),"PvZ 2 Chinease")</f>
        <v>PvZ 2 Chinease</v>
      </c>
      <c r="Y226" s="65" t="str">
        <f ca="1">IFERROR(__xludf.DUMMYFUNCTION("""COMPUTED_VALUE"""),"https://static.wikia.nocookie.net/plantsvszombies/images/a/ad/Dino-Roar_Grass2.png/revision/latest?cb=20190705052324")</f>
        <v>https://static.wikia.nocookie.net/plantsvszombies/images/a/ad/Dino-Roar_Grass2.png/revision/latest?cb=20190705052324</v>
      </c>
    </row>
    <row r="227" spans="1:25" x14ac:dyDescent="0.2">
      <c r="A227" s="64">
        <f ca="1">IFERROR(__xludf.DUMMYFUNCTION("""COMPUTED_VALUE"""),23)</f>
        <v>23</v>
      </c>
      <c r="B227" s="64" t="str">
        <f ca="1">IFERROR(__xludf.DUMMYFUNCTION("""COMPUTED_VALUE"""),"Timid Throns")</f>
        <v>Timid Throns</v>
      </c>
      <c r="C227" s="64" t="str">
        <f ca="1">IFERROR(__xludf.DUMMYFUNCTION("""COMPUTED_VALUE"""),"Espinhos Tímidos")</f>
        <v>Espinhos Tímidos</v>
      </c>
      <c r="D227" s="64" t="str">
        <f ca="1">IFERROR(__xludf.DUMMYFUNCTION("""COMPUTED_VALUE"""),"Refrea")</f>
        <v>Refrea</v>
      </c>
      <c r="E227" s="64" t="str">
        <f ca="1">IFERROR(__xludf.DUMMYFUNCTION("""COMPUTED_VALUE"""),"Previne ataque de dinossauros")</f>
        <v>Previne ataque de dinossauros</v>
      </c>
      <c r="F227" s="64">
        <f ca="1">IFERROR(__xludf.DUMMYFUNCTION("""COMPUTED_VALUE"""),0)</f>
        <v>0</v>
      </c>
      <c r="G227" s="64">
        <f ca="1">IFERROR(__xludf.DUMMYFUNCTION("""COMPUTED_VALUE"""),1500)</f>
        <v>1500</v>
      </c>
      <c r="H227" s="64">
        <f ca="1">IFERROR(__xludf.DUMMYFUNCTION("""COMPUTED_VALUE"""),0)</f>
        <v>0</v>
      </c>
      <c r="I227" s="64">
        <f ca="1">IFERROR(__xludf.DUMMYFUNCTION("""COMPUTED_VALUE"""),20)</f>
        <v>20</v>
      </c>
      <c r="J227" s="64" t="str">
        <f ca="1">IFERROR(__xludf.DUMMYFUNCTION("""COMPUTED_VALUE"""),"No plant effect")</f>
        <v>No plant effect</v>
      </c>
      <c r="K227" s="64"/>
      <c r="L227" s="64" t="str">
        <f ca="1">IFERROR(__xludf.DUMMYFUNCTION("""COMPUTED_VALUE"""),"Special - Prevents Brontosaurus stomps")</f>
        <v>Special - Prevents Brontosaurus stomps</v>
      </c>
      <c r="M227" s="64" t="b">
        <f ca="1">IFERROR(__xludf.DUMMYFUNCTION("""COMPUTED_VALUE"""),TRUE)</f>
        <v>1</v>
      </c>
      <c r="N227" s="64" t="b">
        <f ca="1">IFERROR(__xludf.DUMMYFUNCTION("""COMPUTED_VALUE"""),FALSE)</f>
        <v>0</v>
      </c>
      <c r="O227" s="64">
        <f ca="1">IFERROR(__xludf.DUMMYFUNCTION("""COMPUTED_VALUE"""),0)</f>
        <v>0</v>
      </c>
      <c r="P227" s="64" t="str">
        <f ca="1">IFERROR(__xludf.DUMMYFUNCTION("""COMPUTED_VALUE"""),"Common")</f>
        <v>Common</v>
      </c>
      <c r="Q227" s="64"/>
      <c r="R227" s="64" t="str">
        <f ca="1">IFERROR(__xludf.DUMMYFUNCTION("""COMPUTED_VALUE"""),"Root")</f>
        <v>Root</v>
      </c>
      <c r="S227" s="64" t="str">
        <f ca="1">IFERROR(__xludf.DUMMYFUNCTION("""COMPUTED_VALUE"""),"Chinese Natural")</f>
        <v>Chinese Natural</v>
      </c>
      <c r="T227" s="64" t="str">
        <f ca="1">IFERROR(__xludf.DUMMYFUNCTION("""COMPUTED_VALUE"""),"None")</f>
        <v>None</v>
      </c>
      <c r="U227" s="64" t="str">
        <f ca="1">IFERROR(__xludf.DUMMYFUNCTION("""COMPUTED_VALUE"""),"None")</f>
        <v>None</v>
      </c>
      <c r="V227" s="64" t="str">
        <f ca="1">IFERROR(__xludf.DUMMYFUNCTION("""COMPUTED_VALUE"""),"---")</f>
        <v>---</v>
      </c>
      <c r="W227" s="64" t="str">
        <f ca="1">IFERROR(__xludf.DUMMYFUNCTION("""COMPUTED_VALUE"""),"Special")</f>
        <v>Special</v>
      </c>
      <c r="X227" s="64" t="str">
        <f ca="1">IFERROR(__xludf.DUMMYFUNCTION("""COMPUTED_VALUE"""),"PvZ 2 Chinease")</f>
        <v>PvZ 2 Chinease</v>
      </c>
      <c r="Y227" s="65" t="str">
        <f ca="1">IFERROR(__xludf.DUMMYFUNCTION("""COMPUTED_VALUE"""),"https://static.wikia.nocookie.net/plantsvszombies/images/d/d4/Timid_Thorns2.png/revision/latest?cb=20221215222719")</f>
        <v>https://static.wikia.nocookie.net/plantsvszombies/images/d/d4/Timid_Thorns2.png/revision/latest?cb=20221215222719</v>
      </c>
    </row>
    <row r="228" spans="1:25" x14ac:dyDescent="0.2">
      <c r="A228" s="64">
        <f ca="1">IFERROR(__xludf.DUMMYFUNCTION("""COMPUTED_VALUE"""),24)</f>
        <v>24</v>
      </c>
      <c r="B228" s="64" t="str">
        <f ca="1">IFERROR(__xludf.DUMMYFUNCTION("""COMPUTED_VALUE"""),"Sugarcane Master")</f>
        <v>Sugarcane Master</v>
      </c>
      <c r="C228" s="64" t="str">
        <f ca="1">IFERROR(__xludf.DUMMYFUNCTION("""COMPUTED_VALUE"""),"Mestre cana de açúcar")</f>
        <v>Mestre cana de açúcar</v>
      </c>
      <c r="D228" s="64" t="str">
        <f ca="1">IFERROR(__xludf.DUMMYFUNCTION("""COMPUTED_VALUE"""),"Surra")</f>
        <v>Surra</v>
      </c>
      <c r="E228" s="64" t="str">
        <f ca="1">IFERROR(__xludf.DUMMYFUNCTION("""COMPUTED_VALUE"""),"Usa nunchaku para atacar.")</f>
        <v>Usa nunchaku para atacar.</v>
      </c>
      <c r="F228" s="64">
        <f ca="1">IFERROR(__xludf.DUMMYFUNCTION("""COMPUTED_VALUE"""),175)</f>
        <v>175</v>
      </c>
      <c r="G228" s="64">
        <f ca="1">IFERROR(__xludf.DUMMYFUNCTION("""COMPUTED_VALUE"""),300)</f>
        <v>300</v>
      </c>
      <c r="H228" s="64">
        <f ca="1">IFERROR(__xludf.DUMMYFUNCTION("""COMPUTED_VALUE"""),25)</f>
        <v>25</v>
      </c>
      <c r="I228" s="64">
        <f ca="1">IFERROR(__xludf.DUMMYFUNCTION("""COMPUTED_VALUE"""),5)</f>
        <v>5</v>
      </c>
      <c r="J228" s="64" t="str">
        <f ca="1">IFERROR(__xludf.DUMMYFUNCTION("""COMPUTED_VALUE"""),"Throws many spinning nunchakus, dealing damage in a 3×3 area ahead.")</f>
        <v>Throws many spinning nunchakus, dealing damage in a 3×3 area ahead.</v>
      </c>
      <c r="K228" s="64" t="str">
        <f ca="1">IFERROR(__xludf.DUMMYFUNCTION("""COMPUTED_VALUE"""),"Attacks multiple zombies with nunchaku")</f>
        <v>Attacks multiple zombies with nunchaku</v>
      </c>
      <c r="L228" s="64"/>
      <c r="M228" s="64" t="b">
        <f ca="1">IFERROR(__xludf.DUMMYFUNCTION("""COMPUTED_VALUE"""),FALSE)</f>
        <v>0</v>
      </c>
      <c r="N228" s="64" t="b">
        <f ca="1">IFERROR(__xludf.DUMMYFUNCTION("""COMPUTED_VALUE"""),FALSE)</f>
        <v>0</v>
      </c>
      <c r="O228" s="64">
        <f ca="1">IFERROR(__xludf.DUMMYFUNCTION("""COMPUTED_VALUE"""),0)</f>
        <v>0</v>
      </c>
      <c r="P228" s="64" t="str">
        <f ca="1">IFERROR(__xludf.DUMMYFUNCTION("""COMPUTED_VALUE"""),"Legendary")</f>
        <v>Legendary</v>
      </c>
      <c r="Q228" s="64" t="str">
        <f ca="1">IFERROR(__xludf.DUMMYFUNCTION("""COMPUTED_VALUE"""),"area-effect")</f>
        <v>area-effect</v>
      </c>
      <c r="R228" s="64" t="str">
        <f ca="1">IFERROR(__xludf.DUMMYFUNCTION("""COMPUTED_VALUE"""),"Leaf")</f>
        <v>Leaf</v>
      </c>
      <c r="S228" s="64" t="str">
        <f ca="1">IFERROR(__xludf.DUMMYFUNCTION("""COMPUTED_VALUE"""),"Chinese Natural")</f>
        <v>Chinese Natural</v>
      </c>
      <c r="T228" s="64" t="str">
        <f ca="1">IFERROR(__xludf.DUMMYFUNCTION("""COMPUTED_VALUE"""),"None")</f>
        <v>None</v>
      </c>
      <c r="U228" s="64" t="str">
        <f ca="1">IFERROR(__xludf.DUMMYFUNCTION("""COMPUTED_VALUE"""),"None")</f>
        <v>None</v>
      </c>
      <c r="V228" s="64" t="str">
        <f ca="1">IFERROR(__xludf.DUMMYFUNCTION("""COMPUTED_VALUE"""),"dragoncane")</f>
        <v>dragoncane</v>
      </c>
      <c r="W228" s="64" t="str">
        <f ca="1">IFERROR(__xludf.DUMMYFUNCTION("""COMPUTED_VALUE"""),"Vanguard")</f>
        <v>Vanguard</v>
      </c>
      <c r="X228" s="64" t="str">
        <f ca="1">IFERROR(__xludf.DUMMYFUNCTION("""COMPUTED_VALUE"""),"PvZ 2 Chinease")</f>
        <v>PvZ 2 Chinease</v>
      </c>
      <c r="Y228" s="65" t="str">
        <f ca="1">IFERROR(__xludf.DUMMYFUNCTION("""COMPUTED_VALUE"""),"https://static.wikia.nocookie.net/plantsvszombies/images/2/22/Sugarcane_Master2.png/revision/latest?cb=20221220085223")</f>
        <v>https://static.wikia.nocookie.net/plantsvszombies/images/2/22/Sugarcane_Master2.png/revision/latest?cb=20221220085223</v>
      </c>
    </row>
    <row r="229" spans="1:25" x14ac:dyDescent="0.2">
      <c r="A229" s="64">
        <f ca="1">IFERROR(__xludf.DUMMYFUNCTION("""COMPUTED_VALUE"""),25)</f>
        <v>25</v>
      </c>
      <c r="B229" s="64" t="str">
        <f ca="1">IFERROR(__xludf.DUMMYFUNCTION("""COMPUTED_VALUE"""),"Flat-shroom")</f>
        <v>Flat-shroom</v>
      </c>
      <c r="C229" s="64" t="str">
        <f ca="1">IFERROR(__xludf.DUMMYFUNCTION("""COMPUTED_VALUE"""),"Tampagumelo")</f>
        <v>Tampagumelo</v>
      </c>
      <c r="D229" s="64" t="str">
        <f ca="1">IFERROR(__xludf.DUMMYFUNCTION("""COMPUTED_VALUE"""),"Refrea")</f>
        <v>Refrea</v>
      </c>
      <c r="E229" s="64" t="str">
        <f ca="1">IFERROR(__xludf.DUMMYFUNCTION("""COMPUTED_VALUE"""),"Faz buracos pararem de expelir gases tóxicos.")</f>
        <v>Faz buracos pararem de expelir gases tóxicos.</v>
      </c>
      <c r="F229" s="64">
        <f ca="1">IFERROR(__xludf.DUMMYFUNCTION("""COMPUTED_VALUE"""),0)</f>
        <v>0</v>
      </c>
      <c r="G229" s="64">
        <f ca="1">IFERROR(__xludf.DUMMYFUNCTION("""COMPUTED_VALUE"""),2000)</f>
        <v>2000</v>
      </c>
      <c r="H229" s="64">
        <f ca="1">IFERROR(__xludf.DUMMYFUNCTION("""COMPUTED_VALUE"""),0)</f>
        <v>0</v>
      </c>
      <c r="I229" s="64">
        <f ca="1">IFERROR(__xludf.DUMMYFUNCTION("""COMPUTED_VALUE"""),20)</f>
        <v>20</v>
      </c>
      <c r="J229" s="64" t="str">
        <f ca="1">IFERROR(__xludf.DUMMYFUNCTION("""COMPUTED_VALUE"""),"Immediately splits at most 2 Flat-shrooms onto uncovered sewers.")</f>
        <v>Immediately splits at most 2 Flat-shrooms onto uncovered sewers.</v>
      </c>
      <c r="K229" s="64" t="str">
        <f ca="1">IFERROR(__xludf.DUMMYFUNCTION("""COMPUTED_VALUE"""),"Can only be planted on the sewer without a manhole cover")</f>
        <v>Can only be planted on the sewer without a manhole cover</v>
      </c>
      <c r="L229" s="64" t="str">
        <f ca="1">IFERROR(__xludf.DUMMYFUNCTION("""COMPUTED_VALUE"""),"Special - Blocks a sewer hole")</f>
        <v>Special - Blocks a sewer hole</v>
      </c>
      <c r="M229" s="64" t="b">
        <f ca="1">IFERROR(__xludf.DUMMYFUNCTION("""COMPUTED_VALUE"""),FALSE)</f>
        <v>0</v>
      </c>
      <c r="N229" s="64" t="b">
        <f ca="1">IFERROR(__xludf.DUMMYFUNCTION("""COMPUTED_VALUE"""),FALSE)</f>
        <v>0</v>
      </c>
      <c r="O229" s="64">
        <f ca="1">IFERROR(__xludf.DUMMYFUNCTION("""COMPUTED_VALUE"""),0)</f>
        <v>0</v>
      </c>
      <c r="P229" s="64" t="str">
        <f ca="1">IFERROR(__xludf.DUMMYFUNCTION("""COMPUTED_VALUE"""),"Common")</f>
        <v>Common</v>
      </c>
      <c r="Q229" s="64"/>
      <c r="R229" s="64" t="str">
        <f ca="1">IFERROR(__xludf.DUMMYFUNCTION("""COMPUTED_VALUE"""),"Murshroom")</f>
        <v>Murshroom</v>
      </c>
      <c r="S229" s="64" t="str">
        <f ca="1">IFERROR(__xludf.DUMMYFUNCTION("""COMPUTED_VALUE"""),"Chinese Natural")</f>
        <v>Chinese Natural</v>
      </c>
      <c r="T229" s="64" t="str">
        <f ca="1">IFERROR(__xludf.DUMMYFUNCTION("""COMPUTED_VALUE"""),"None")</f>
        <v>None</v>
      </c>
      <c r="U229" s="64" t="str">
        <f ca="1">IFERROR(__xludf.DUMMYFUNCTION("""COMPUTED_VALUE"""),"None")</f>
        <v>None</v>
      </c>
      <c r="V229" s="64" t="str">
        <f ca="1">IFERROR(__xludf.DUMMYFUNCTION("""COMPUTED_VALUE"""),"flattenedshroom")</f>
        <v>flattenedshroom</v>
      </c>
      <c r="W229" s="64" t="str">
        <f ca="1">IFERROR(__xludf.DUMMYFUNCTION("""COMPUTED_VALUE"""),"Special")</f>
        <v>Special</v>
      </c>
      <c r="X229" s="64" t="str">
        <f ca="1">IFERROR(__xludf.DUMMYFUNCTION("""COMPUTED_VALUE"""),"PvZ 2 Chinease")</f>
        <v>PvZ 2 Chinease</v>
      </c>
      <c r="Y229" s="65" t="str">
        <f ca="1">IFERROR(__xludf.DUMMYFUNCTION("""COMPUTED_VALUE"""),"https://static.wikia.nocookie.net/plantsvszombies/images/d/dd/Flat-shroom2.png/revision/latest?cb=20180825114906")</f>
        <v>https://static.wikia.nocookie.net/plantsvszombies/images/d/dd/Flat-shroom2.png/revision/latest?cb=20180825114906</v>
      </c>
    </row>
    <row r="230" spans="1:25" x14ac:dyDescent="0.2">
      <c r="A230" s="64">
        <f ca="1">IFERROR(__xludf.DUMMYFUNCTION("""COMPUTED_VALUE"""),26)</f>
        <v>26</v>
      </c>
      <c r="B230" s="64" t="str">
        <f ca="1">IFERROR(__xludf.DUMMYFUNCTION("""COMPUTED_VALUE"""),"Lotus Shooter")</f>
        <v>Lotus Shooter</v>
      </c>
      <c r="C230" s="64" t="str">
        <f ca="1">IFERROR(__xludf.DUMMYFUNCTION("""COMPUTED_VALUE"""),"Dispara Lótus")</f>
        <v>Dispara Lótus</v>
      </c>
      <c r="D230" s="64" t="str">
        <f ca="1">IFERROR(__xludf.DUMMYFUNCTION("""COMPUTED_VALUE"""),"Envenenada")</f>
        <v>Envenenada</v>
      </c>
      <c r="E230" s="64" t="str">
        <f ca="1">IFERROR(__xludf.DUMMYFUNCTION("""COMPUTED_VALUE"""),"Pode absorver gás tóxico para atacar com mais potência.")</f>
        <v>Pode absorver gás tóxico para atacar com mais potência.</v>
      </c>
      <c r="F230" s="64">
        <f ca="1">IFERROR(__xludf.DUMMYFUNCTION("""COMPUTED_VALUE"""),200)</f>
        <v>200</v>
      </c>
      <c r="G230" s="64">
        <f ca="1">IFERROR(__xludf.DUMMYFUNCTION("""COMPUTED_VALUE"""),300)</f>
        <v>300</v>
      </c>
      <c r="H230" s="64">
        <f ca="1">IFERROR(__xludf.DUMMYFUNCTION("""COMPUTED_VALUE"""),20)</f>
        <v>20</v>
      </c>
      <c r="I230" s="64">
        <f ca="1">IFERROR(__xludf.DUMMYFUNCTION("""COMPUTED_VALUE"""),15)</f>
        <v>15</v>
      </c>
      <c r="J230" s="64" t="str">
        <f ca="1">IFERROR(__xludf.DUMMYFUNCTION("""COMPUTED_VALUE"""),"Lotus Shooter quickly absorbs water stream and fires 60 water arrows, spilling onto zombies to the right.")</f>
        <v>Lotus Shooter quickly absorbs water stream and fires 60 water arrows, spilling onto zombies to the right.</v>
      </c>
      <c r="K230" s="64"/>
      <c r="L230" s="64"/>
      <c r="M230" s="64" t="b">
        <f ca="1">IFERROR(__xludf.DUMMYFUNCTION("""COMPUTED_VALUE"""),FALSE)</f>
        <v>0</v>
      </c>
      <c r="N230" s="64" t="b">
        <f ca="1">IFERROR(__xludf.DUMMYFUNCTION("""COMPUTED_VALUE"""),FALSE)</f>
        <v>0</v>
      </c>
      <c r="O230" s="64">
        <f ca="1">IFERROR(__xludf.DUMMYFUNCTION("""COMPUTED_VALUE"""),0)</f>
        <v>0</v>
      </c>
      <c r="P230" s="64" t="str">
        <f ca="1">IFERROR(__xludf.DUMMYFUNCTION("""COMPUTED_VALUE"""),"Epic")</f>
        <v>Epic</v>
      </c>
      <c r="Q230" s="64"/>
      <c r="R230" s="64" t="str">
        <f ca="1">IFERROR(__xludf.DUMMYFUNCTION("""COMPUTED_VALUE"""),"Root")</f>
        <v>Root</v>
      </c>
      <c r="S230" s="64" t="str">
        <f ca="1">IFERROR(__xludf.DUMMYFUNCTION("""COMPUTED_VALUE"""),"Chinese Natural")</f>
        <v>Chinese Natural</v>
      </c>
      <c r="T230" s="64" t="str">
        <f ca="1">IFERROR(__xludf.DUMMYFUNCTION("""COMPUTED_VALUE"""),"None")</f>
        <v>None</v>
      </c>
      <c r="U230" s="64" t="str">
        <f ca="1">IFERROR(__xludf.DUMMYFUNCTION("""COMPUTED_VALUE"""),"None")</f>
        <v>None</v>
      </c>
      <c r="V230" s="64" t="str">
        <f ca="1">IFERROR(__xludf.DUMMYFUNCTION("""COMPUTED_VALUE"""),"lotusshooter")</f>
        <v>lotusshooter</v>
      </c>
      <c r="W230" s="64" t="str">
        <f ca="1">IFERROR(__xludf.DUMMYFUNCTION("""COMPUTED_VALUE"""),"Ranged")</f>
        <v>Ranged</v>
      </c>
      <c r="X230" s="64" t="str">
        <f ca="1">IFERROR(__xludf.DUMMYFUNCTION("""COMPUTED_VALUE"""),"PvZ 2 Chinease")</f>
        <v>PvZ 2 Chinease</v>
      </c>
      <c r="Y230" s="65" t="str">
        <f ca="1">IFERROR(__xludf.DUMMYFUNCTION("""COMPUTED_VALUE"""),"https://static.wikia.nocookie.net/plantsvszombies/images/7/72/Lotus_Shooter2.png/revision/latest?cb=20230909021319")</f>
        <v>https://static.wikia.nocookie.net/plantsvszombies/images/7/72/Lotus_Shooter2.png/revision/latest?cb=20230909021319</v>
      </c>
    </row>
    <row r="231" spans="1:25" x14ac:dyDescent="0.2">
      <c r="A231" s="64">
        <f ca="1">IFERROR(__xludf.DUMMYFUNCTION("""COMPUTED_VALUE"""),27)</f>
        <v>27</v>
      </c>
      <c r="B231" s="64" t="str">
        <f ca="1">IFERROR(__xludf.DUMMYFUNCTION("""COMPUTED_VALUE"""),"Maypop Mechanic")</f>
        <v>Maypop Mechanic</v>
      </c>
      <c r="C231" s="64" t="str">
        <f ca="1">IFERROR(__xludf.DUMMYFUNCTION("""COMPUTED_VALUE"""),"Passiflora Mecânica")</f>
        <v>Passiflora Mecânica</v>
      </c>
      <c r="D231" s="64" t="str">
        <f ca="1">IFERROR(__xludf.DUMMYFUNCTION("""COMPUTED_VALUE"""),"Dispara")</f>
        <v>Dispara</v>
      </c>
      <c r="E231" s="64" t="str">
        <f ca="1">IFERROR(__xludf.DUMMYFUNCTION("""COMPUTED_VALUE"""),"Ataca o zumbi mais próximo em sua fileira ou nas adjacentes, disparando engrenagens.")</f>
        <v>Ataca o zumbi mais próximo em sua fileira ou nas adjacentes, disparando engrenagens.</v>
      </c>
      <c r="F231" s="64">
        <f ca="1">IFERROR(__xludf.DUMMYFUNCTION("""COMPUTED_VALUE"""),125)</f>
        <v>125</v>
      </c>
      <c r="G231" s="64">
        <f ca="1">IFERROR(__xludf.DUMMYFUNCTION("""COMPUTED_VALUE"""),300)</f>
        <v>300</v>
      </c>
      <c r="H231" s="64">
        <f ca="1">IFERROR(__xludf.DUMMYFUNCTION("""COMPUTED_VALUE"""),30)</f>
        <v>30</v>
      </c>
      <c r="I231" s="64">
        <f ca="1">IFERROR(__xludf.DUMMYFUNCTION("""COMPUTED_VALUE"""),5)</f>
        <v>5</v>
      </c>
      <c r="J231" s="64" t="str">
        <f ca="1">IFERROR(__xludf.DUMMYFUNCTION("""COMPUTED_VALUE"""),"Maypop Mechanic spits out a giant gear, launching it towards the right, it stops to continuously damage zombies in a 3×3 area after hitting a zombie.")</f>
        <v>Maypop Mechanic spits out a giant gear, launching it towards the right, it stops to continuously damage zombies in a 3×3 area after hitting a zombie.</v>
      </c>
      <c r="K231" s="64"/>
      <c r="L231" s="64"/>
      <c r="M231" s="64" t="b">
        <f ca="1">IFERROR(__xludf.DUMMYFUNCTION("""COMPUTED_VALUE"""),FALSE)</f>
        <v>0</v>
      </c>
      <c r="N231" s="64" t="b">
        <f ca="1">IFERROR(__xludf.DUMMYFUNCTION("""COMPUTED_VALUE"""),FALSE)</f>
        <v>0</v>
      </c>
      <c r="O231" s="64">
        <f ca="1">IFERROR(__xludf.DUMMYFUNCTION("""COMPUTED_VALUE"""),0)</f>
        <v>0</v>
      </c>
      <c r="P231" s="64" t="str">
        <f ca="1">IFERROR(__xludf.DUMMYFUNCTION("""COMPUTED_VALUE"""),"Rare")</f>
        <v>Rare</v>
      </c>
      <c r="Q231" s="64" t="str">
        <f ca="1">IFERROR(__xludf.DUMMYFUNCTION("""COMPUTED_VALUE"""),"area-effect")</f>
        <v>area-effect</v>
      </c>
      <c r="R231" s="64" t="str">
        <f ca="1">IFERROR(__xludf.DUMMYFUNCTION("""COMPUTED_VALUE"""),"Flower")</f>
        <v>Flower</v>
      </c>
      <c r="S231" s="64" t="str">
        <f ca="1">IFERROR(__xludf.DUMMYFUNCTION("""COMPUTED_VALUE"""),"Chinese Natural")</f>
        <v>Chinese Natural</v>
      </c>
      <c r="T231" s="64" t="str">
        <f ca="1">IFERROR(__xludf.DUMMYFUNCTION("""COMPUTED_VALUE"""),"None")</f>
        <v>None</v>
      </c>
      <c r="U231" s="64" t="str">
        <f ca="1">IFERROR(__xludf.DUMMYFUNCTION("""COMPUTED_VALUE"""),"None")</f>
        <v>None</v>
      </c>
      <c r="V231" s="64" t="str">
        <f ca="1">IFERROR(__xludf.DUMMYFUNCTION("""COMPUTED_VALUE"""),"passionflower")</f>
        <v>passionflower</v>
      </c>
      <c r="W231" s="64" t="str">
        <f ca="1">IFERROR(__xludf.DUMMYFUNCTION("""COMPUTED_VALUE"""),"Ranged")</f>
        <v>Ranged</v>
      </c>
      <c r="X231" s="64" t="str">
        <f ca="1">IFERROR(__xludf.DUMMYFUNCTION("""COMPUTED_VALUE"""),"PvZ 2 Chinease")</f>
        <v>PvZ 2 Chinease</v>
      </c>
      <c r="Y231" s="65" t="str">
        <f ca="1">IFERROR(__xludf.DUMMYFUNCTION("""COMPUTED_VALUE"""),"https://static.wikia.nocookie.net/plantsvszombies/images/7/76/Maypop_Mechanic2.png/revision/latest?cb=20190319131928")</f>
        <v>https://static.wikia.nocookie.net/plantsvszombies/images/7/76/Maypop_Mechanic2.png/revision/latest?cb=20190319131928</v>
      </c>
    </row>
    <row r="232" spans="1:25" x14ac:dyDescent="0.2">
      <c r="A232" s="64">
        <f ca="1">IFERROR(__xludf.DUMMYFUNCTION("""COMPUTED_VALUE"""),28)</f>
        <v>28</v>
      </c>
      <c r="B232" s="64" t="str">
        <f ca="1">IFERROR(__xludf.DUMMYFUNCTION("""COMPUTED_VALUE"""),"Fanilla")</f>
        <v>Fanilla</v>
      </c>
      <c r="C232" s="64" t="str">
        <f ca="1">IFERROR(__xludf.DUMMYFUNCTION("""COMPUTED_VALUE"""),"Baunilha")</f>
        <v>Baunilha</v>
      </c>
      <c r="D232" s="64" t="str">
        <f ca="1">IFERROR(__xludf.DUMMYFUNCTION("""COMPUTED_VALUE"""),"Dispara")</f>
        <v>Dispara</v>
      </c>
      <c r="E232" s="64" t="str">
        <f ca="1">IFERROR(__xludf.DUMMYFUNCTION("""COMPUTED_VALUE"""),"Pode assoprar zumbis com guarda chuva.")</f>
        <v>Pode assoprar zumbis com guarda chuva.</v>
      </c>
      <c r="F232" s="64">
        <f ca="1">IFERROR(__xludf.DUMMYFUNCTION("""COMPUTED_VALUE"""),75)</f>
        <v>75</v>
      </c>
      <c r="G232" s="64">
        <f ca="1">IFERROR(__xludf.DUMMYFUNCTION("""COMPUTED_VALUE"""),300)</f>
        <v>300</v>
      </c>
      <c r="H232" s="64">
        <f ca="1">IFERROR(__xludf.DUMMYFUNCTION("""COMPUTED_VALUE"""),30)</f>
        <v>30</v>
      </c>
      <c r="I232" s="64">
        <f ca="1">IFERROR(__xludf.DUMMYFUNCTION("""COMPUTED_VALUE"""),20)</f>
        <v>20</v>
      </c>
      <c r="J232" s="64" t="str">
        <f ca="1">IFERROR(__xludf.DUMMYFUNCTION("""COMPUTED_VALUE"""),"Wind-Blowing Vanilla creates a giant tornado, blowing away small zombies and damaging the rest. Tornado disappears after blowing away 5 zombies.")</f>
        <v>Wind-Blowing Vanilla creates a giant tornado, blowing away small zombies and damaging the rest. Tornado disappears after blowing away 5 zombies.</v>
      </c>
      <c r="K232" s="64"/>
      <c r="L232" s="64"/>
      <c r="M232" s="64" t="b">
        <f ca="1">IFERROR(__xludf.DUMMYFUNCTION("""COMPUTED_VALUE"""),FALSE)</f>
        <v>0</v>
      </c>
      <c r="N232" s="64" t="b">
        <f ca="1">IFERROR(__xludf.DUMMYFUNCTION("""COMPUTED_VALUE"""),FALSE)</f>
        <v>0</v>
      </c>
      <c r="O232" s="64">
        <f ca="1">IFERROR(__xludf.DUMMYFUNCTION("""COMPUTED_VALUE"""),0)</f>
        <v>0</v>
      </c>
      <c r="P232" s="64" t="str">
        <f ca="1">IFERROR(__xludf.DUMMYFUNCTION("""COMPUTED_VALUE"""),"Epic")</f>
        <v>Epic</v>
      </c>
      <c r="Q232" s="64" t="str">
        <f ca="1">IFERROR(__xludf.DUMMYFUNCTION("""COMPUTED_VALUE"""),"area-effect")</f>
        <v>area-effect</v>
      </c>
      <c r="R232" s="64" t="str">
        <f ca="1">IFERROR(__xludf.DUMMYFUNCTION("""COMPUTED_VALUE"""),"Flower")</f>
        <v>Flower</v>
      </c>
      <c r="S232" s="64" t="str">
        <f ca="1">IFERROR(__xludf.DUMMYFUNCTION("""COMPUTED_VALUE"""),"Chinese Natural")</f>
        <v>Chinese Natural</v>
      </c>
      <c r="T232" s="64" t="str">
        <f ca="1">IFERROR(__xludf.DUMMYFUNCTION("""COMPUTED_VALUE"""),"None")</f>
        <v>None</v>
      </c>
      <c r="U232" s="64" t="str">
        <f ca="1">IFERROR(__xludf.DUMMYFUNCTION("""COMPUTED_VALUE"""),"None")</f>
        <v>None</v>
      </c>
      <c r="V232" s="64" t="str">
        <f ca="1">IFERROR(__xludf.DUMMYFUNCTION("""COMPUTED_VALUE"""),"vanilla")</f>
        <v>vanilla</v>
      </c>
      <c r="W232" s="64" t="str">
        <f ca="1">IFERROR(__xludf.DUMMYFUNCTION("""COMPUTED_VALUE"""),"Ranged")</f>
        <v>Ranged</v>
      </c>
      <c r="X232" s="64" t="str">
        <f ca="1">IFERROR(__xludf.DUMMYFUNCTION("""COMPUTED_VALUE"""),"PvZ 2 Chinease")</f>
        <v>PvZ 2 Chinease</v>
      </c>
      <c r="Y232" s="65" t="str">
        <f ca="1">IFERROR(__xludf.DUMMYFUNCTION("""COMPUTED_VALUE"""),"https://static.wikia.nocookie.net/plantsvszombies/images/6/6e/Wind-Blowing_Vanilla2.png/revision/latest?cb=20180825120100")</f>
        <v>https://static.wikia.nocookie.net/plantsvszombies/images/6/6e/Wind-Blowing_Vanilla2.png/revision/latest?cb=20180825120100</v>
      </c>
    </row>
    <row r="233" spans="1:25" x14ac:dyDescent="0.2">
      <c r="A233" s="64">
        <f ca="1">IFERROR(__xludf.DUMMYFUNCTION("""COMPUTED_VALUE"""),29)</f>
        <v>29</v>
      </c>
      <c r="B233" s="64" t="str">
        <f ca="1">IFERROR(__xludf.DUMMYFUNCTION("""COMPUTED_VALUE"""),"Mulberry Blaster")</f>
        <v>Mulberry Blaster</v>
      </c>
      <c r="C233" s="64" t="str">
        <f ca="1">IFERROR(__xludf.DUMMYFUNCTION("""COMPUTED_VALUE"""),"Bomba Amora")</f>
        <v>Bomba Amora</v>
      </c>
      <c r="D233" s="64" t="str">
        <f ca="1">IFERROR(__xludf.DUMMYFUNCTION("""COMPUTED_VALUE"""),"Bombarda")</f>
        <v>Bombarda</v>
      </c>
      <c r="E233" s="64" t="str">
        <f ca="1">IFERROR(__xludf.DUMMYFUNCTION("""COMPUTED_VALUE"""),"Lança uma amora que causa uma pequena explosão")</f>
        <v>Lança uma amora que causa uma pequena explosão</v>
      </c>
      <c r="F233" s="64">
        <f ca="1">IFERROR(__xludf.DUMMYFUNCTION("""COMPUTED_VALUE"""),150)</f>
        <v>150</v>
      </c>
      <c r="G233" s="64">
        <f ca="1">IFERROR(__xludf.DUMMYFUNCTION("""COMPUTED_VALUE"""),300)</f>
        <v>300</v>
      </c>
      <c r="H233" s="64">
        <f ca="1">IFERROR(__xludf.DUMMYFUNCTION("""COMPUTED_VALUE"""),200)</f>
        <v>200</v>
      </c>
      <c r="I233" s="64">
        <f ca="1">IFERROR(__xludf.DUMMYFUNCTION("""COMPUTED_VALUE"""),20)</f>
        <v>20</v>
      </c>
      <c r="J233" s="64" t="str">
        <f ca="1">IFERROR(__xludf.DUMMYFUNCTION("""COMPUTED_VALUE"""),"Mulberry Blaster summons multiple grenades at once, consecutively lobbing 6 grenades at zombies across the lawn, dealing explosion damage.")</f>
        <v>Mulberry Blaster summons multiple grenades at once, consecutively lobbing 6 grenades at zombies across the lawn, dealing explosion damage.</v>
      </c>
      <c r="K233" s="64"/>
      <c r="L233" s="64" t="str">
        <f ca="1">IFERROR(__xludf.DUMMYFUNCTION("""COMPUTED_VALUE"""),"Special - It launches berries to damage zombies in a tile.")</f>
        <v>Special - It launches berries to damage zombies in a tile.</v>
      </c>
      <c r="M233" s="64" t="b">
        <f ca="1">IFERROR(__xludf.DUMMYFUNCTION("""COMPUTED_VALUE"""),FALSE)</f>
        <v>0</v>
      </c>
      <c r="N233" s="64" t="b">
        <f ca="1">IFERROR(__xludf.DUMMYFUNCTION("""COMPUTED_VALUE"""),FALSE)</f>
        <v>0</v>
      </c>
      <c r="O233" s="64">
        <f ca="1">IFERROR(__xludf.DUMMYFUNCTION("""COMPUTED_VALUE"""),0)</f>
        <v>0</v>
      </c>
      <c r="P233" s="64" t="str">
        <f ca="1">IFERROR(__xludf.DUMMYFUNCTION("""COMPUTED_VALUE"""),"Legendary")</f>
        <v>Legendary</v>
      </c>
      <c r="Q233" s="64" t="str">
        <f ca="1">IFERROR(__xludf.DUMMYFUNCTION("""COMPUTED_VALUE"""),"explosion, area-effect")</f>
        <v>explosion, area-effect</v>
      </c>
      <c r="R233" s="64" t="str">
        <f ca="1">IFERROR(__xludf.DUMMYFUNCTION("""COMPUTED_VALUE"""),"Berry")</f>
        <v>Berry</v>
      </c>
      <c r="S233" s="64" t="str">
        <f ca="1">IFERROR(__xludf.DUMMYFUNCTION("""COMPUTED_VALUE"""),"Chinese Natural")</f>
        <v>Chinese Natural</v>
      </c>
      <c r="T233" s="64" t="str">
        <f ca="1">IFERROR(__xludf.DUMMYFUNCTION("""COMPUTED_VALUE"""),"None")</f>
        <v>None</v>
      </c>
      <c r="U233" s="64" t="str">
        <f ca="1">IFERROR(__xludf.DUMMYFUNCTION("""COMPUTED_VALUE"""),"None")</f>
        <v>None</v>
      </c>
      <c r="V233" s="64" t="str">
        <f ca="1">IFERROR(__xludf.DUMMYFUNCTION("""COMPUTED_VALUE"""),"---")</f>
        <v>---</v>
      </c>
      <c r="W233" s="64" t="str">
        <f ca="1">IFERROR(__xludf.DUMMYFUNCTION("""COMPUTED_VALUE"""),"Ranged")</f>
        <v>Ranged</v>
      </c>
      <c r="X233" s="64" t="str">
        <f ca="1">IFERROR(__xludf.DUMMYFUNCTION("""COMPUTED_VALUE"""),"PvZ 2 Chinease")</f>
        <v>PvZ 2 Chinease</v>
      </c>
      <c r="Y233" s="65" t="str">
        <f ca="1">IFERROR(__xludf.DUMMYFUNCTION("""COMPUTED_VALUE"""),"https://static.wikia.nocookie.net/plantsvszombies/images/a/ad/Convallaria_Pharmacist2.png/revision/latest?cb=20190217205325")</f>
        <v>https://static.wikia.nocookie.net/plantsvszombies/images/a/ad/Convallaria_Pharmacist2.png/revision/latest?cb=20190217205325</v>
      </c>
    </row>
    <row r="234" spans="1:25" x14ac:dyDescent="0.2">
      <c r="A234" s="64">
        <f ca="1">IFERROR(__xludf.DUMMYFUNCTION("""COMPUTED_VALUE"""),30)</f>
        <v>30</v>
      </c>
      <c r="B234" s="64" t="str">
        <f ca="1">IFERROR(__xludf.DUMMYFUNCTION("""COMPUTED_VALUE"""),"Lily of Alchemy")</f>
        <v>Lily of Alchemy</v>
      </c>
      <c r="C234" s="64" t="str">
        <f ca="1">IFERROR(__xludf.DUMMYFUNCTION("""COMPUTED_VALUE"""),"Lírio Alquímico")</f>
        <v>Lírio Alquímico</v>
      </c>
      <c r="D234" s="64" t="str">
        <f ca="1">IFERROR(__xludf.DUMMYFUNCTION("""COMPUTED_VALUE"""),"Envenenada")</f>
        <v>Envenenada</v>
      </c>
      <c r="E234" s="64" t="str">
        <f ca="1">IFERROR(__xludf.DUMMYFUNCTION("""COMPUTED_VALUE"""),"Lança flores envenenadas, que podem aumentar o grau de envenenamento, dando mais dano com o tempo.")</f>
        <v>Lança flores envenenadas, que podem aumentar o grau de envenenamento, dando mais dano com o tempo.</v>
      </c>
      <c r="F234" s="64">
        <f ca="1">IFERROR(__xludf.DUMMYFUNCTION("""COMPUTED_VALUE"""),175)</f>
        <v>175</v>
      </c>
      <c r="G234" s="64">
        <f ca="1">IFERROR(__xludf.DUMMYFUNCTION("""COMPUTED_VALUE"""),300)</f>
        <v>300</v>
      </c>
      <c r="H234" s="64">
        <f ca="1">IFERROR(__xludf.DUMMYFUNCTION("""COMPUTED_VALUE"""),30)</f>
        <v>30</v>
      </c>
      <c r="I234" s="64">
        <f ca="1">IFERROR(__xludf.DUMMYFUNCTION("""COMPUTED_VALUE"""),20)</f>
        <v>20</v>
      </c>
      <c r="J234" s="64" t="str">
        <f ca="1">IFERROR(__xludf.DUMMYFUNCTION("""COMPUTED_VALUE"""),"Convallaria Pharmacist puffs up, quickly and consecutively lobs 5 poisons towards zombies across the entire lawn, damaging zombies and adding 1 layer of poison.")</f>
        <v>Convallaria Pharmacist puffs up, quickly and consecutively lobs 5 poisons towards zombies across the entire lawn, damaging zombies and adding 1 layer of poison.</v>
      </c>
      <c r="K234" s="64"/>
      <c r="L234" s="64" t="str">
        <f ca="1">IFERROR(__xludf.DUMMYFUNCTION("""COMPUTED_VALUE"""),"Special - Causes damage to zombies by stackable poison effect.")</f>
        <v>Special - Causes damage to zombies by stackable poison effect.</v>
      </c>
      <c r="M234" s="64" t="b">
        <f ca="1">IFERROR(__xludf.DUMMYFUNCTION("""COMPUTED_VALUE"""),FALSE)</f>
        <v>0</v>
      </c>
      <c r="N234" s="64" t="b">
        <f ca="1">IFERROR(__xludf.DUMMYFUNCTION("""COMPUTED_VALUE"""),FALSE)</f>
        <v>0</v>
      </c>
      <c r="O234" s="64">
        <f ca="1">IFERROR(__xludf.DUMMYFUNCTION("""COMPUTED_VALUE"""),0)</f>
        <v>0</v>
      </c>
      <c r="P234" s="64" t="str">
        <f ca="1">IFERROR(__xludf.DUMMYFUNCTION("""COMPUTED_VALUE"""),"Legendary")</f>
        <v>Legendary</v>
      </c>
      <c r="Q234" s="64" t="str">
        <f ca="1">IFERROR(__xludf.DUMMYFUNCTION("""COMPUTED_VALUE"""),"poison, slowing")</f>
        <v>poison, slowing</v>
      </c>
      <c r="R234" s="64" t="str">
        <f ca="1">IFERROR(__xludf.DUMMYFUNCTION("""COMPUTED_VALUE"""),"Flower")</f>
        <v>Flower</v>
      </c>
      <c r="S234" s="64" t="str">
        <f ca="1">IFERROR(__xludf.DUMMYFUNCTION("""COMPUTED_VALUE"""),"Chinese Natural")</f>
        <v>Chinese Natural</v>
      </c>
      <c r="T234" s="64" t="str">
        <f ca="1">IFERROR(__xludf.DUMMYFUNCTION("""COMPUTED_VALUE"""),"None")</f>
        <v>None</v>
      </c>
      <c r="U234" s="64" t="str">
        <f ca="1">IFERROR(__xludf.DUMMYFUNCTION("""COMPUTED_VALUE"""),"None")</f>
        <v>None</v>
      </c>
      <c r="V234" s="64" t="str">
        <f ca="1">IFERROR(__xludf.DUMMYFUNCTION("""COMPUTED_VALUE"""),"---")</f>
        <v>---</v>
      </c>
      <c r="W234" s="64" t="str">
        <f ca="1">IFERROR(__xludf.DUMMYFUNCTION("""COMPUTED_VALUE"""),"Ranged")</f>
        <v>Ranged</v>
      </c>
      <c r="X234" s="64" t="str">
        <f ca="1">IFERROR(__xludf.DUMMYFUNCTION("""COMPUTED_VALUE"""),"PvZ 2 Chinease")</f>
        <v>PvZ 2 Chinease</v>
      </c>
      <c r="Y234" s="65" t="str">
        <f ca="1">IFERROR(__xludf.DUMMYFUNCTION("""COMPUTED_VALUE"""),"https://static.wikia.nocookie.net/plantsvszombies/images/a/a5/Mulberry_Blaster2.png/revision/latest?cb=20190321155348")</f>
        <v>https://static.wikia.nocookie.net/plantsvszombies/images/a/a5/Mulberry_Blaster2.png/revision/latest?cb=20190321155348</v>
      </c>
    </row>
    <row r="235" spans="1:25" x14ac:dyDescent="0.2">
      <c r="A235" s="64">
        <f ca="1">IFERROR(__xludf.DUMMYFUNCTION("""COMPUTED_VALUE"""),31)</f>
        <v>31</v>
      </c>
      <c r="B235" s="64" t="str">
        <f ca="1">IFERROR(__xludf.DUMMYFUNCTION("""COMPUTED_VALUE"""),"Rose Swordfighter")</f>
        <v>Rose Swordfighter</v>
      </c>
      <c r="C235" s="64" t="str">
        <f ca="1">IFERROR(__xludf.DUMMYFUNCTION("""COMPUTED_VALUE"""),"Rosa Esgrimista")</f>
        <v>Rosa Esgrimista</v>
      </c>
      <c r="D235" s="64" t="str">
        <f ca="1">IFERROR(__xludf.DUMMYFUNCTION("""COMPUTED_VALUE"""),"Surra")</f>
        <v>Surra</v>
      </c>
      <c r="E235" s="64" t="str">
        <f ca="1">IFERROR(__xludf.DUMMYFUNCTION("""COMPUTED_VALUE"""),"Ataca zumbis que se aproximam, e disfere um golpe poderosissimo quando a vida deles estiverm baixa.")</f>
        <v>Ataca zumbis que se aproximam, e disfere um golpe poderosissimo quando a vida deles estiverm baixa.</v>
      </c>
      <c r="F235" s="64">
        <f ca="1">IFERROR(__xludf.DUMMYFUNCTION("""COMPUTED_VALUE"""),225)</f>
        <v>225</v>
      </c>
      <c r="G235" s="64">
        <f ca="1">IFERROR(__xludf.DUMMYFUNCTION("""COMPUTED_VALUE"""),300)</f>
        <v>300</v>
      </c>
      <c r="H235" s="64">
        <f ca="1">IFERROR(__xludf.DUMMYFUNCTION("""COMPUTED_VALUE"""),13)</f>
        <v>13</v>
      </c>
      <c r="I235" s="64">
        <f ca="1">IFERROR(__xludf.DUMMYFUNCTION("""COMPUTED_VALUE"""),45784)</f>
        <v>45784</v>
      </c>
      <c r="J235" s="64" t="str">
        <f ca="1">IFERROR(__xludf.DUMMYFUNCTION("""COMPUTED_VALUE"""),"Rose Swordfighter uses proficient swordfighting skills to continuously stab zombies in a 3×3 area to the right, dealing damage.")</f>
        <v>Rose Swordfighter uses proficient swordfighting skills to continuously stab zombies in a 3×3 area to the right, dealing damage.</v>
      </c>
      <c r="K235" s="64"/>
      <c r="L235" s="64" t="str">
        <f ca="1">IFERROR(__xludf.DUMMYFUNCTION("""COMPUTED_VALUE"""),"Special - Strong attacks on zombies with low hitpoints")</f>
        <v>Special - Strong attacks on zombies with low hitpoints</v>
      </c>
      <c r="M235" s="64" t="b">
        <f ca="1">IFERROR(__xludf.DUMMYFUNCTION("""COMPUTED_VALUE"""),FALSE)</f>
        <v>0</v>
      </c>
      <c r="N235" s="64" t="b">
        <f ca="1">IFERROR(__xludf.DUMMYFUNCTION("""COMPUTED_VALUE"""),FALSE)</f>
        <v>0</v>
      </c>
      <c r="O235" s="64">
        <f ca="1">IFERROR(__xludf.DUMMYFUNCTION("""COMPUTED_VALUE"""),0)</f>
        <v>0</v>
      </c>
      <c r="P235" s="64" t="str">
        <f ca="1">IFERROR(__xludf.DUMMYFUNCTION("""COMPUTED_VALUE"""),"Rare")</f>
        <v>Rare</v>
      </c>
      <c r="Q235" s="64"/>
      <c r="R235" s="64" t="str">
        <f ca="1">IFERROR(__xludf.DUMMYFUNCTION("""COMPUTED_VALUE"""),"Flower")</f>
        <v>Flower</v>
      </c>
      <c r="S235" s="64" t="str">
        <f ca="1">IFERROR(__xludf.DUMMYFUNCTION("""COMPUTED_VALUE"""),"Chinese Sementium")</f>
        <v>Chinese Sementium</v>
      </c>
      <c r="T235" s="64" t="str">
        <f ca="1">IFERROR(__xludf.DUMMYFUNCTION("""COMPUTED_VALUE"""),"None")</f>
        <v>None</v>
      </c>
      <c r="U235" s="64" t="str">
        <f ca="1">IFERROR(__xludf.DUMMYFUNCTION("""COMPUTED_VALUE"""),"None")</f>
        <v>None</v>
      </c>
      <c r="V235" s="64" t="str">
        <f ca="1">IFERROR(__xludf.DUMMYFUNCTION("""COMPUTED_VALUE"""),"---")</f>
        <v>---</v>
      </c>
      <c r="W235" s="64" t="str">
        <f ca="1">IFERROR(__xludf.DUMMYFUNCTION("""COMPUTED_VALUE"""),"Vanguard")</f>
        <v>Vanguard</v>
      </c>
      <c r="X235" s="64" t="str">
        <f ca="1">IFERROR(__xludf.DUMMYFUNCTION("""COMPUTED_VALUE"""),"PvZ 2 Chinease")</f>
        <v>PvZ 2 Chinease</v>
      </c>
      <c r="Y235" s="65" t="str">
        <f ca="1">IFERROR(__xludf.DUMMYFUNCTION("""COMPUTED_VALUE"""),"https://static.wikia.nocookie.net/plantsvszombies/images/d/db/Rose_Swordfighter2.png/revision/latest?cb=20200803061104")</f>
        <v>https://static.wikia.nocookie.net/plantsvszombies/images/d/db/Rose_Swordfighter2.png/revision/latest?cb=20200803061104</v>
      </c>
    </row>
    <row r="236" spans="1:25" x14ac:dyDescent="0.2">
      <c r="A236" s="64">
        <f ca="1">IFERROR(__xludf.DUMMYFUNCTION("""COMPUTED_VALUE"""),32)</f>
        <v>32</v>
      </c>
      <c r="B236" s="64" t="str">
        <f ca="1">IFERROR(__xludf.DUMMYFUNCTION("""COMPUTED_VALUE"""),"Bearberry Mortar")</f>
        <v>Bearberry Mortar</v>
      </c>
      <c r="C236" s="64" t="str">
        <f ca="1">IFERROR(__xludf.DUMMYFUNCTION("""COMPUTED_VALUE"""),"Uva Ursi Morteira")</f>
        <v>Uva Ursi Morteira</v>
      </c>
      <c r="D236" s="64" t="str">
        <f ca="1">IFERROR(__xludf.DUMMYFUNCTION("""COMPUTED_VALUE"""),"Arma")</f>
        <v>Arma</v>
      </c>
      <c r="E236" s="64" t="str">
        <f ca="1">IFERROR(__xludf.DUMMYFUNCTION("""COMPUTED_VALUE"""),"Lança uma uva rolante que ataca todos os zumbis na coluna.")</f>
        <v>Lança uma uva rolante que ataca todos os zumbis na coluna.</v>
      </c>
      <c r="F236" s="64">
        <f ca="1">IFERROR(__xludf.DUMMYFUNCTION("""COMPUTED_VALUE"""),150)</f>
        <v>150</v>
      </c>
      <c r="G236" s="64">
        <f ca="1">IFERROR(__xludf.DUMMYFUNCTION("""COMPUTED_VALUE"""),300)</f>
        <v>300</v>
      </c>
      <c r="H236" s="64">
        <f ca="1">IFERROR(__xludf.DUMMYFUNCTION("""COMPUTED_VALUE"""),100)</f>
        <v>100</v>
      </c>
      <c r="I236" s="64">
        <f ca="1">IFERROR(__xludf.DUMMYFUNCTION("""COMPUTED_VALUE"""),20)</f>
        <v>20</v>
      </c>
      <c r="J236" s="64" t="str">
        <f ca="1">IFERROR(__xludf.DUMMYFUNCTION("""COMPUTED_VALUE"""),"Bearberry Mortar consecutively fires 3 kinnickinnick bombs, rolling to the right, upper right and lower right, knocking away small-to-medium sized zombies whilst damaging the rest.")</f>
        <v>Bearberry Mortar consecutively fires 3 kinnickinnick bombs, rolling to the right, upper right and lower right, knocking away small-to-medium sized zombies whilst damaging the rest.</v>
      </c>
      <c r="K236" s="64"/>
      <c r="L236" s="64"/>
      <c r="M236" s="64" t="b">
        <f ca="1">IFERROR(__xludf.DUMMYFUNCTION("""COMPUTED_VALUE"""),FALSE)</f>
        <v>0</v>
      </c>
      <c r="N236" s="64" t="b">
        <f ca="1">IFERROR(__xludf.DUMMYFUNCTION("""COMPUTED_VALUE"""),FALSE)</f>
        <v>0</v>
      </c>
      <c r="O236" s="64">
        <f ca="1">IFERROR(__xludf.DUMMYFUNCTION("""COMPUTED_VALUE"""),0)</f>
        <v>0</v>
      </c>
      <c r="P236" s="64" t="str">
        <f ca="1">IFERROR(__xludf.DUMMYFUNCTION("""COMPUTED_VALUE"""),"Legendary")</f>
        <v>Legendary</v>
      </c>
      <c r="Q236" s="64" t="str">
        <f ca="1">IFERROR(__xludf.DUMMYFUNCTION("""COMPUTED_VALUE"""),"area-effect")</f>
        <v>area-effect</v>
      </c>
      <c r="R236" s="64" t="str">
        <f ca="1">IFERROR(__xludf.DUMMYFUNCTION("""COMPUTED_VALUE"""),"Berry")</f>
        <v>Berry</v>
      </c>
      <c r="S236" s="64" t="str">
        <f ca="1">IFERROR(__xludf.DUMMYFUNCTION("""COMPUTED_VALUE"""),"Chinese Natural")</f>
        <v>Chinese Natural</v>
      </c>
      <c r="T236" s="64" t="str">
        <f ca="1">IFERROR(__xludf.DUMMYFUNCTION("""COMPUTED_VALUE"""),"None")</f>
        <v>None</v>
      </c>
      <c r="U236" s="64" t="str">
        <f ca="1">IFERROR(__xludf.DUMMYFUNCTION("""COMPUTED_VALUE"""),"None")</f>
        <v>None</v>
      </c>
      <c r="V236" s="64" t="str">
        <f ca="1">IFERROR(__xludf.DUMMYFUNCTION("""COMPUTED_VALUE"""),"---")</f>
        <v>---</v>
      </c>
      <c r="W236" s="64" t="str">
        <f ca="1">IFERROR(__xludf.DUMMYFUNCTION("""COMPUTED_VALUE"""),"Ranged")</f>
        <v>Ranged</v>
      </c>
      <c r="X236" s="64" t="str">
        <f ca="1">IFERROR(__xludf.DUMMYFUNCTION("""COMPUTED_VALUE"""),"PvZ 2 Chinease")</f>
        <v>PvZ 2 Chinease</v>
      </c>
      <c r="Y236" s="65" t="str">
        <f ca="1">IFERROR(__xludf.DUMMYFUNCTION("""COMPUTED_VALUE"""),"https://static.wikia.nocookie.net/plantsvszombies/images/5/52/Bearberry_Mortar2.png/revision/latest?cb=20190926013605")</f>
        <v>https://static.wikia.nocookie.net/plantsvszombies/images/5/52/Bearberry_Mortar2.png/revision/latest?cb=20190926013605</v>
      </c>
    </row>
    <row r="237" spans="1:25" x14ac:dyDescent="0.2">
      <c r="A237" s="64">
        <f ca="1">IFERROR(__xludf.DUMMYFUNCTION("""COMPUTED_VALUE"""),33)</f>
        <v>33</v>
      </c>
      <c r="B237" s="64" t="str">
        <f ca="1">IFERROR(__xludf.DUMMYFUNCTION("""COMPUTED_VALUE"""),"Wax Gourd Guard")</f>
        <v>Wax Gourd Guard</v>
      </c>
      <c r="C237" s="64" t="str">
        <f ca="1">IFERROR(__xludf.DUMMYFUNCTION("""COMPUTED_VALUE"""),"Cabaça de Cera Guardiã")</f>
        <v>Cabaça de Cera Guardiã</v>
      </c>
      <c r="D237" s="64" t="str">
        <f ca="1">IFERROR(__xludf.DUMMYFUNCTION("""COMPUTED_VALUE"""),"Endurecida")</f>
        <v>Endurecida</v>
      </c>
      <c r="E237" s="64" t="str">
        <f ca="1">IFERROR(__xludf.DUMMYFUNCTION("""COMPUTED_VALUE"""),"Ocasionalmente pula afastando os zumbis.")</f>
        <v>Ocasionalmente pula afastando os zumbis.</v>
      </c>
      <c r="F237" s="64">
        <f ca="1">IFERROR(__xludf.DUMMYFUNCTION("""COMPUTED_VALUE"""),125)</f>
        <v>125</v>
      </c>
      <c r="G237" s="64">
        <f ca="1">IFERROR(__xludf.DUMMYFUNCTION("""COMPUTED_VALUE"""),6000)</f>
        <v>6000</v>
      </c>
      <c r="H237" s="64">
        <f ca="1">IFERROR(__xludf.DUMMYFUNCTION("""COMPUTED_VALUE"""),0)</f>
        <v>0</v>
      </c>
      <c r="I237" s="64">
        <f ca="1">IFERROR(__xludf.DUMMYFUNCTION("""COMPUTED_VALUE"""),15)</f>
        <v>15</v>
      </c>
      <c r="J237" s="64" t="str">
        <f ca="1">IFERROR(__xludf.DUMMYFUNCTION("""COMPUTED_VALUE"""),"Wax Gourd Guard consecutively jumps 3 times, the first time knocking the zombies one tile to the right upwards, the second time knocking zombies in a 3×3 area upwards, the third time knocking back zombies in a 3×3 area.")</f>
        <v>Wax Gourd Guard consecutively jumps 3 times, the first time knocking the zombies one tile to the right upwards, the second time knocking zombies in a 3×3 area upwards, the third time knocking back zombies in a 3×3 area.</v>
      </c>
      <c r="K237" s="64"/>
      <c r="L237" s="64"/>
      <c r="M237" s="64" t="b">
        <f ca="1">IFERROR(__xludf.DUMMYFUNCTION("""COMPUTED_VALUE"""),FALSE)</f>
        <v>0</v>
      </c>
      <c r="N237" s="64" t="b">
        <f ca="1">IFERROR(__xludf.DUMMYFUNCTION("""COMPUTED_VALUE"""),FALSE)</f>
        <v>0</v>
      </c>
      <c r="O237" s="64">
        <f ca="1">IFERROR(__xludf.DUMMYFUNCTION("""COMPUTED_VALUE"""),0)</f>
        <v>0</v>
      </c>
      <c r="P237" s="64" t="str">
        <f ca="1">IFERROR(__xludf.DUMMYFUNCTION("""COMPUTED_VALUE"""),"Uncommon")</f>
        <v>Uncommon</v>
      </c>
      <c r="Q237" s="64"/>
      <c r="R237" s="64" t="str">
        <f ca="1">IFERROR(__xludf.DUMMYFUNCTION("""COMPUTED_VALUE"""),"Fruit")</f>
        <v>Fruit</v>
      </c>
      <c r="S237" s="64" t="str">
        <f ca="1">IFERROR(__xludf.DUMMYFUNCTION("""COMPUTED_VALUE"""),"Chinese Natural")</f>
        <v>Chinese Natural</v>
      </c>
      <c r="T237" s="64" t="str">
        <f ca="1">IFERROR(__xludf.DUMMYFUNCTION("""COMPUTED_VALUE"""),"None")</f>
        <v>None</v>
      </c>
      <c r="U237" s="64" t="str">
        <f ca="1">IFERROR(__xludf.DUMMYFUNCTION("""COMPUTED_VALUE"""),"None")</f>
        <v>None</v>
      </c>
      <c r="V237" s="64" t="str">
        <f ca="1">IFERROR(__xludf.DUMMYFUNCTION("""COMPUTED_VALUE"""),"---")</f>
        <v>---</v>
      </c>
      <c r="W237" s="64" t="str">
        <f ca="1">IFERROR(__xludf.DUMMYFUNCTION("""COMPUTED_VALUE"""),"Tough")</f>
        <v>Tough</v>
      </c>
      <c r="X237" s="64" t="str">
        <f ca="1">IFERROR(__xludf.DUMMYFUNCTION("""COMPUTED_VALUE"""),"PvZ 2 Chinease")</f>
        <v>PvZ 2 Chinease</v>
      </c>
      <c r="Y237" s="65" t="str">
        <f ca="1">IFERROR(__xludf.DUMMYFUNCTION("""COMPUTED_VALUE"""),"https://static.wikia.nocookie.net/plantsvszombies/images/c/c9/Wax_Gourd_Guard2.png/revision/latest?cb=20190926013735")</f>
        <v>https://static.wikia.nocookie.net/plantsvszombies/images/c/c9/Wax_Gourd_Guard2.png/revision/latest?cb=20190926013735</v>
      </c>
    </row>
    <row r="238" spans="1:25" x14ac:dyDescent="0.2">
      <c r="A238" s="64">
        <f ca="1">IFERROR(__xludf.DUMMYFUNCTION("""COMPUTED_VALUE"""),34)</f>
        <v>34</v>
      </c>
      <c r="B238" s="64" t="str">
        <f ca="1">IFERROR(__xludf.DUMMYFUNCTION("""COMPUTED_VALUE"""),"Oily Olive")</f>
        <v>Oily Olive</v>
      </c>
      <c r="C238" s="64" t="str">
        <f ca="1">IFERROR(__xludf.DUMMYFUNCTION("""COMPUTED_VALUE"""),"Azeitona Oleosa")</f>
        <v>Azeitona Oleosa</v>
      </c>
      <c r="D238" s="64" t="str">
        <f ca="1">IFERROR(__xludf.DUMMYFUNCTION("""COMPUTED_VALUE"""),"Refrea")</f>
        <v>Refrea</v>
      </c>
      <c r="E238" s="64" t="str">
        <f ca="1">IFERROR(__xludf.DUMMYFUNCTION("""COMPUTED_VALUE"""),"Pode cuspir em zumbis, seu oleo pode ser inflamado por ataques de fogo de plantas aliadas.")</f>
        <v>Pode cuspir em zumbis, seu oleo pode ser inflamado por ataques de fogo de plantas aliadas.</v>
      </c>
      <c r="F238" s="64">
        <f ca="1">IFERROR(__xludf.DUMMYFUNCTION("""COMPUTED_VALUE"""),25)</f>
        <v>25</v>
      </c>
      <c r="G238" s="64">
        <f ca="1">IFERROR(__xludf.DUMMYFUNCTION("""COMPUTED_VALUE"""),100)</f>
        <v>100</v>
      </c>
      <c r="H238" s="64">
        <f ca="1">IFERROR(__xludf.DUMMYFUNCTION("""COMPUTED_VALUE"""),0)</f>
        <v>0</v>
      </c>
      <c r="I238" s="64">
        <f ca="1">IFERROR(__xludf.DUMMYFUNCTION("""COMPUTED_VALUE"""),13)</f>
        <v>13</v>
      </c>
      <c r="J238" s="64" t="str">
        <f ca="1">IFERROR(__xludf.DUMMYFUNCTION("""COMPUTED_VALUE"""),"No plant effect")</f>
        <v>No plant effect</v>
      </c>
      <c r="K238" s="64"/>
      <c r="L238" s="64"/>
      <c r="M238" s="64" t="b">
        <f ca="1">IFERROR(__xludf.DUMMYFUNCTION("""COMPUTED_VALUE"""),TRUE)</f>
        <v>1</v>
      </c>
      <c r="N238" s="64" t="b">
        <f ca="1">IFERROR(__xludf.DUMMYFUNCTION("""COMPUTED_VALUE"""),TRUE)</f>
        <v>1</v>
      </c>
      <c r="O238" s="64">
        <f ca="1">IFERROR(__xludf.DUMMYFUNCTION("""COMPUTED_VALUE"""),0)</f>
        <v>0</v>
      </c>
      <c r="P238" s="64" t="str">
        <f ca="1">IFERROR(__xludf.DUMMYFUNCTION("""COMPUTED_VALUE"""),"Uncommon")</f>
        <v>Uncommon</v>
      </c>
      <c r="Q238" s="64"/>
      <c r="R238" s="64" t="str">
        <f ca="1">IFERROR(__xludf.DUMMYFUNCTION("""COMPUTED_VALUE"""),"Fruit")</f>
        <v>Fruit</v>
      </c>
      <c r="S238" s="64" t="str">
        <f ca="1">IFERROR(__xludf.DUMMYFUNCTION("""COMPUTED_VALUE"""),"Chinese Natural")</f>
        <v>Chinese Natural</v>
      </c>
      <c r="T238" s="64" t="str">
        <f ca="1">IFERROR(__xludf.DUMMYFUNCTION("""COMPUTED_VALUE"""),"None")</f>
        <v>None</v>
      </c>
      <c r="U238" s="64" t="str">
        <f ca="1">IFERROR(__xludf.DUMMYFUNCTION("""COMPUTED_VALUE"""),"None")</f>
        <v>None</v>
      </c>
      <c r="V238" s="64" t="str">
        <f ca="1">IFERROR(__xludf.DUMMYFUNCTION("""COMPUTED_VALUE"""),"OLIVE")</f>
        <v>OLIVE</v>
      </c>
      <c r="W238" s="64" t="str">
        <f ca="1">IFERROR(__xludf.DUMMYFUNCTION("""COMPUTED_VALUE"""),"Special")</f>
        <v>Special</v>
      </c>
      <c r="X238" s="64" t="str">
        <f ca="1">IFERROR(__xludf.DUMMYFUNCTION("""COMPUTED_VALUE"""),"PvZ 2 Chinease")</f>
        <v>PvZ 2 Chinease</v>
      </c>
      <c r="Y238" s="65" t="str">
        <f ca="1">IFERROR(__xludf.DUMMYFUNCTION("""COMPUTED_VALUE"""),"https://static.wikia.nocookie.net/plantsvszombies/images/2/2e/Oily_Olive2.png/revision/latest?cb=20191214184514")</f>
        <v>https://static.wikia.nocookie.net/plantsvszombies/images/2/2e/Oily_Olive2.png/revision/latest?cb=20191214184514</v>
      </c>
    </row>
    <row r="239" spans="1:25" x14ac:dyDescent="0.2">
      <c r="A239" s="64">
        <f ca="1">IFERROR(__xludf.DUMMYFUNCTION("""COMPUTED_VALUE"""),35)</f>
        <v>35</v>
      </c>
      <c r="B239" s="64" t="str">
        <f ca="1">IFERROR(__xludf.DUMMYFUNCTION("""COMPUTED_VALUE"""),"Jeweler Pomegranate")</f>
        <v>Jeweler Pomegranate</v>
      </c>
      <c r="C239" s="64" t="str">
        <f ca="1">IFERROR(__xludf.DUMMYFUNCTION("""COMPUTED_VALUE"""),"Romã Joalheiro")</f>
        <v>Romã Joalheiro</v>
      </c>
      <c r="D239" s="64" t="str">
        <f ca="1">IFERROR(__xludf.DUMMYFUNCTION("""COMPUTED_VALUE"""),"Arma")</f>
        <v>Arma</v>
      </c>
      <c r="E239" s="64" t="str">
        <f ca="1">IFERROR(__xludf.DUMMYFUNCTION("""COMPUTED_VALUE"""),"Atira rubis que recocheteiam depois de acertar um zumbi.")</f>
        <v>Atira rubis que recocheteiam depois de acertar um zumbi.</v>
      </c>
      <c r="F239" s="64">
        <f ca="1">IFERROR(__xludf.DUMMYFUNCTION("""COMPUTED_VALUE"""),175)</f>
        <v>175</v>
      </c>
      <c r="G239" s="64">
        <f ca="1">IFERROR(__xludf.DUMMYFUNCTION("""COMPUTED_VALUE"""),300)</f>
        <v>300</v>
      </c>
      <c r="H239" s="64">
        <f ca="1">IFERROR(__xludf.DUMMYFUNCTION("""COMPUTED_VALUE"""),100)</f>
        <v>100</v>
      </c>
      <c r="I239" s="64">
        <f ca="1">IFERROR(__xludf.DUMMYFUNCTION("""COMPUTED_VALUE"""),10)</f>
        <v>10</v>
      </c>
      <c r="J239" s="64" t="str">
        <f ca="1">IFERROR(__xludf.DUMMYFUNCTION("""COMPUTED_VALUE"""),"Jeweler Pomegranate consecutively fires 4 gems and 1 big gem. The big gem deals more damage and stuns, instantly defeating at most 2 small-to-medium sized zombies.")</f>
        <v>Jeweler Pomegranate consecutively fires 4 gems and 1 big gem. The big gem deals more damage and stuns, instantly defeating at most 2 small-to-medium sized zombies.</v>
      </c>
      <c r="K239" s="64"/>
      <c r="L239" s="64"/>
      <c r="M239" s="64" t="b">
        <f ca="1">IFERROR(__xludf.DUMMYFUNCTION("""COMPUTED_VALUE"""),FALSE)</f>
        <v>0</v>
      </c>
      <c r="N239" s="64" t="b">
        <f ca="1">IFERROR(__xludf.DUMMYFUNCTION("""COMPUTED_VALUE"""),FALSE)</f>
        <v>0</v>
      </c>
      <c r="O239" s="64">
        <f ca="1">IFERROR(__xludf.DUMMYFUNCTION("""COMPUTED_VALUE"""),0)</f>
        <v>0</v>
      </c>
      <c r="P239" s="64" t="str">
        <f ca="1">IFERROR(__xludf.DUMMYFUNCTION("""COMPUTED_VALUE"""),"Legendary")</f>
        <v>Legendary</v>
      </c>
      <c r="Q239" s="64"/>
      <c r="R239" s="64" t="str">
        <f ca="1">IFERROR(__xludf.DUMMYFUNCTION("""COMPUTED_VALUE"""),"Fruit")</f>
        <v>Fruit</v>
      </c>
      <c r="S239" s="64" t="str">
        <f ca="1">IFERROR(__xludf.DUMMYFUNCTION("""COMPUTED_VALUE"""),"Chinese Natural")</f>
        <v>Chinese Natural</v>
      </c>
      <c r="T239" s="64" t="str">
        <f ca="1">IFERROR(__xludf.DUMMYFUNCTION("""COMPUTED_VALUE"""),"None")</f>
        <v>None</v>
      </c>
      <c r="U239" s="64" t="str">
        <f ca="1">IFERROR(__xludf.DUMMYFUNCTION("""COMPUTED_VALUE"""),"None")</f>
        <v>None</v>
      </c>
      <c r="V239" s="64" t="str">
        <f ca="1">IFERROR(__xludf.DUMMYFUNCTION("""COMPUTED_VALUE"""),"---")</f>
        <v>---</v>
      </c>
      <c r="W239" s="64" t="str">
        <f ca="1">IFERROR(__xludf.DUMMYFUNCTION("""COMPUTED_VALUE"""),"Ranged")</f>
        <v>Ranged</v>
      </c>
      <c r="X239" s="64" t="str">
        <f ca="1">IFERROR(__xludf.DUMMYFUNCTION("""COMPUTED_VALUE"""),"PvZ 2 Chinease")</f>
        <v>PvZ 2 Chinease</v>
      </c>
      <c r="Y239" s="65" t="str">
        <f ca="1">IFERROR(__xludf.DUMMYFUNCTION("""COMPUTED_VALUE"""),"https://static.wikia.nocookie.net/plantsvszombies/images/e/ee/Jeweler_Pomegranate2.png/revision/latest?cb=20191215184623")</f>
        <v>https://static.wikia.nocookie.net/plantsvszombies/images/e/ee/Jeweler_Pomegranate2.png/revision/latest?cb=20191215184623</v>
      </c>
    </row>
    <row r="240" spans="1:25" x14ac:dyDescent="0.2">
      <c r="A240" s="64">
        <f ca="1">IFERROR(__xludf.DUMMYFUNCTION("""COMPUTED_VALUE"""),36)</f>
        <v>36</v>
      </c>
      <c r="B240" s="64" t="str">
        <f ca="1">IFERROR(__xludf.DUMMYFUNCTION("""COMPUTED_VALUE"""),"Dripping Diphylleia")</f>
        <v>Dripping Diphylleia</v>
      </c>
      <c r="C240" s="64" t="str">
        <f ca="1">IFERROR(__xludf.DUMMYFUNCTION("""COMPUTED_VALUE"""),"Difiléia Gotejante")</f>
        <v>Difiléia Gotejante</v>
      </c>
      <c r="D240" s="64" t="str">
        <f ca="1">IFERROR(__xludf.DUMMYFUNCTION("""COMPUTED_VALUE"""),"Refrea")</f>
        <v>Refrea</v>
      </c>
      <c r="E240" s="64" t="str">
        <f ca="1">IFERROR(__xludf.DUMMYFUNCTION("""COMPUTED_VALUE"""),"Apaga fogo das plantas, e diminui a velocidade de zumbis próximos.")</f>
        <v>Apaga fogo das plantas, e diminui a velocidade de zumbis próximos.</v>
      </c>
      <c r="F240" s="64">
        <f ca="1">IFERROR(__xludf.DUMMYFUNCTION("""COMPUTED_VALUE"""),50)</f>
        <v>50</v>
      </c>
      <c r="G240" s="64">
        <f ca="1">IFERROR(__xludf.DUMMYFUNCTION("""COMPUTED_VALUE"""),300)</f>
        <v>300</v>
      </c>
      <c r="H240" s="64">
        <f ca="1">IFERROR(__xludf.DUMMYFUNCTION("""COMPUTED_VALUE"""),0)</f>
        <v>0</v>
      </c>
      <c r="I240" s="64">
        <f ca="1">IFERROR(__xludf.DUMMYFUNCTION("""COMPUTED_VALUE"""),10)</f>
        <v>10</v>
      </c>
      <c r="J240" s="64" t="str">
        <f ca="1">IFERROR(__xludf.DUMMYFUNCTION("""COMPUTED_VALUE"""),"Dripping Diphylleia quickly spins to store a large amount of water and splashes them all at once, covering a 5×5 area in water.")</f>
        <v>Dripping Diphylleia quickly spins to store a large amount of water and splashes them all at once, covering a 5×5 area in water.</v>
      </c>
      <c r="K240" s="64"/>
      <c r="L240" s="64"/>
      <c r="M240" s="64" t="b">
        <f ca="1">IFERROR(__xludf.DUMMYFUNCTION("""COMPUTED_VALUE"""),FALSE)</f>
        <v>0</v>
      </c>
      <c r="N240" s="64" t="b">
        <f ca="1">IFERROR(__xludf.DUMMYFUNCTION("""COMPUTED_VALUE"""),FALSE)</f>
        <v>0</v>
      </c>
      <c r="O240" s="64">
        <f ca="1">IFERROR(__xludf.DUMMYFUNCTION("""COMPUTED_VALUE"""),0)</f>
        <v>0</v>
      </c>
      <c r="P240" s="64" t="str">
        <f ca="1">IFERROR(__xludf.DUMMYFUNCTION("""COMPUTED_VALUE"""),"Uncommon")</f>
        <v>Uncommon</v>
      </c>
      <c r="Q240" s="64" t="str">
        <f ca="1">IFERROR(__xludf.DUMMYFUNCTION("""COMPUTED_VALUE"""),"debuff, slowing, area-effect, immortal")</f>
        <v>debuff, slowing, area-effect, immortal</v>
      </c>
      <c r="R240" s="64" t="str">
        <f ca="1">IFERROR(__xludf.DUMMYFUNCTION("""COMPUTED_VALUE"""),"Flower")</f>
        <v>Flower</v>
      </c>
      <c r="S240" s="64" t="str">
        <f ca="1">IFERROR(__xludf.DUMMYFUNCTION("""COMPUTED_VALUE"""),"Chinese Natural")</f>
        <v>Chinese Natural</v>
      </c>
      <c r="T240" s="64" t="str">
        <f ca="1">IFERROR(__xludf.DUMMYFUNCTION("""COMPUTED_VALUE"""),"None")</f>
        <v>None</v>
      </c>
      <c r="U240" s="64" t="str">
        <f ca="1">IFERROR(__xludf.DUMMYFUNCTION("""COMPUTED_VALUE"""),"None")</f>
        <v>None</v>
      </c>
      <c r="V240" s="64" t="str">
        <f ca="1">IFERROR(__xludf.DUMMYFUNCTION("""COMPUTED_VALUE"""),"---")</f>
        <v>---</v>
      </c>
      <c r="W240" s="64" t="str">
        <f ca="1">IFERROR(__xludf.DUMMYFUNCTION("""COMPUTED_VALUE"""),"Special")</f>
        <v>Special</v>
      </c>
      <c r="X240" s="64" t="str">
        <f ca="1">IFERROR(__xludf.DUMMYFUNCTION("""COMPUTED_VALUE"""),"PvZ 2 Chinease")</f>
        <v>PvZ 2 Chinease</v>
      </c>
      <c r="Y240" s="65" t="str">
        <f ca="1">IFERROR(__xludf.DUMMYFUNCTION("""COMPUTED_VALUE"""),"https://static.wikia.nocookie.net/plantsvszombies/images/6/6b/Dripping_Diphylleia2.png/revision/latest?cb=20210125075450")</f>
        <v>https://static.wikia.nocookie.net/plantsvszombies/images/6/6b/Dripping_Diphylleia2.png/revision/latest?cb=20210125075450</v>
      </c>
    </row>
    <row r="241" spans="1:25" x14ac:dyDescent="0.2">
      <c r="A241" s="64">
        <f ca="1">IFERROR(__xludf.DUMMYFUNCTION("""COMPUTED_VALUE"""),37)</f>
        <v>37</v>
      </c>
      <c r="B241" s="64" t="str">
        <f ca="1">IFERROR(__xludf.DUMMYFUNCTION("""COMPUTED_VALUE"""),"Dendrobium Windbreak")</f>
        <v>Dendrobium Windbreak</v>
      </c>
      <c r="C241" s="64" t="str">
        <f ca="1">IFERROR(__xludf.DUMMYFUNCTION("""COMPUTED_VALUE"""),"Orquidea Parabrisas")</f>
        <v>Orquidea Parabrisas</v>
      </c>
      <c r="D241" s="64" t="str">
        <f ca="1">IFERROR(__xludf.DUMMYFUNCTION("""COMPUTED_VALUE"""),"Endurecida")</f>
        <v>Endurecida</v>
      </c>
      <c r="E241" s="64" t="str">
        <f ca="1">IFERROR(__xludf.DUMMYFUNCTION("""COMPUTED_VALUE"""),"Conecta com outros para barrar ventos fortes.")</f>
        <v>Conecta com outros para barrar ventos fortes.</v>
      </c>
      <c r="F241" s="64">
        <f ca="1">IFERROR(__xludf.DUMMYFUNCTION("""COMPUTED_VALUE"""),100)</f>
        <v>100</v>
      </c>
      <c r="G241" s="64">
        <f ca="1">IFERROR(__xludf.DUMMYFUNCTION("""COMPUTED_VALUE"""),4000)</f>
        <v>4000</v>
      </c>
      <c r="H241" s="64">
        <f ca="1">IFERROR(__xludf.DUMMYFUNCTION("""COMPUTED_VALUE"""),0)</f>
        <v>0</v>
      </c>
      <c r="I241" s="64">
        <f ca="1">IFERROR(__xludf.DUMMYFUNCTION("""COMPUTED_VALUE"""),10)</f>
        <v>10</v>
      </c>
      <c r="J241" s="64" t="str">
        <f ca="1">IFERROR(__xludf.DUMMYFUNCTION("""COMPUTED_VALUE"""),"Dendrobium Windbreak spins quickly, immediately knocking back all zombies back to the right for 1 tile and recovering all leaves and health. Neighbouring Dendrobium Windbreaks from other lanes will also spins quickly and knock back zombies.")</f>
        <v>Dendrobium Windbreak spins quickly, immediately knocking back all zombies back to the right for 1 tile and recovering all leaves and health. Neighbouring Dendrobium Windbreaks from other lanes will also spins quickly and knock back zombies.</v>
      </c>
      <c r="K241" s="64"/>
      <c r="L241" s="64"/>
      <c r="M241" s="64" t="b">
        <f ca="1">IFERROR(__xludf.DUMMYFUNCTION("""COMPUTED_VALUE"""),FALSE)</f>
        <v>0</v>
      </c>
      <c r="N241" s="64" t="b">
        <f ca="1">IFERROR(__xludf.DUMMYFUNCTION("""COMPUTED_VALUE"""),FALSE)</f>
        <v>0</v>
      </c>
      <c r="O241" s="64">
        <f ca="1">IFERROR(__xludf.DUMMYFUNCTION("""COMPUTED_VALUE"""),0)</f>
        <v>0</v>
      </c>
      <c r="P241" s="64" t="str">
        <f ca="1">IFERROR(__xludf.DUMMYFUNCTION("""COMPUTED_VALUE"""),"Uncommon")</f>
        <v>Uncommon</v>
      </c>
      <c r="Q241" s="64"/>
      <c r="R241" s="64" t="str">
        <f ca="1">IFERROR(__xludf.DUMMYFUNCTION("""COMPUTED_VALUE"""),"Flower")</f>
        <v>Flower</v>
      </c>
      <c r="S241" s="64" t="str">
        <f ca="1">IFERROR(__xludf.DUMMYFUNCTION("""COMPUTED_VALUE"""),"Chinese Natural")</f>
        <v>Chinese Natural</v>
      </c>
      <c r="T241" s="64" t="str">
        <f ca="1">IFERROR(__xludf.DUMMYFUNCTION("""COMPUTED_VALUE"""),"None")</f>
        <v>None</v>
      </c>
      <c r="U241" s="64" t="str">
        <f ca="1">IFERROR(__xludf.DUMMYFUNCTION("""COMPUTED_VALUE"""),"None")</f>
        <v>None</v>
      </c>
      <c r="V241" s="64" t="str">
        <f ca="1">IFERROR(__xludf.DUMMYFUNCTION("""COMPUTED_VALUE"""),"---")</f>
        <v>---</v>
      </c>
      <c r="W241" s="64" t="str">
        <f ca="1">IFERROR(__xludf.DUMMYFUNCTION("""COMPUTED_VALUE"""),"Tough")</f>
        <v>Tough</v>
      </c>
      <c r="X241" s="64" t="str">
        <f ca="1">IFERROR(__xludf.DUMMYFUNCTION("""COMPUTED_VALUE"""),"PvZ 2 Chinease")</f>
        <v>PvZ 2 Chinease</v>
      </c>
      <c r="Y241" s="65" t="str">
        <f ca="1">IFERROR(__xludf.DUMMYFUNCTION("""COMPUTED_VALUE"""),"https://static.wikia.nocookie.net/plantsvszombies/images/f/fd/Dendrobium_Windbreak2.png/revision/latest?cb=20210207112655")</f>
        <v>https://static.wikia.nocookie.net/plantsvszombies/images/f/fd/Dendrobium_Windbreak2.png/revision/latest?cb=20210207112655</v>
      </c>
    </row>
    <row r="242" spans="1:25" x14ac:dyDescent="0.2">
      <c r="A242" s="64">
        <f ca="1">IFERROR(__xludf.DUMMYFUNCTION("""COMPUTED_VALUE"""),38)</f>
        <v>38</v>
      </c>
      <c r="B242" s="64" t="str">
        <f ca="1">IFERROR(__xludf.DUMMYFUNCTION("""COMPUTED_VALUE"""),"Stephania")</f>
        <v>Stephania</v>
      </c>
      <c r="C242" s="64" t="str">
        <f ca="1">IFERROR(__xludf.DUMMYFUNCTION("""COMPUTED_VALUE"""),"Stephania")</f>
        <v>Stephania</v>
      </c>
      <c r="D242" s="64" t="str">
        <f ca="1">IFERROR(__xludf.DUMMYFUNCTION("""COMPUTED_VALUE"""),"Dispara")</f>
        <v>Dispara</v>
      </c>
      <c r="E242" s="64" t="str">
        <f ca="1">IFERROR(__xludf.DUMMYFUNCTION("""COMPUTED_VALUE"""),"Se protege contra ninjimps, escudos arremessados são fragmentados.")</f>
        <v>Se protege contra ninjimps, escudos arremessados são fragmentados.</v>
      </c>
      <c r="F242" s="64">
        <f ca="1">IFERROR(__xludf.DUMMYFUNCTION("""COMPUTED_VALUE"""),200)</f>
        <v>200</v>
      </c>
      <c r="G242" s="64">
        <f ca="1">IFERROR(__xludf.DUMMYFUNCTION("""COMPUTED_VALUE"""),300)</f>
        <v>300</v>
      </c>
      <c r="H242" s="64">
        <f ca="1">IFERROR(__xludf.DUMMYFUNCTION("""COMPUTED_VALUE"""),120)</f>
        <v>120</v>
      </c>
      <c r="I242" s="64">
        <f ca="1">IFERROR(__xludf.DUMMYFUNCTION("""COMPUTED_VALUE"""),45784)</f>
        <v>45784</v>
      </c>
      <c r="J242" s="64" t="str">
        <f ca="1">IFERROR(__xludf.DUMMYFUNCTION("""COMPUTED_VALUE"""),"Stephania charges and consecutively fires 6 glowing shields, damaging and knocking back zombies for 1 tile.")</f>
        <v>Stephania charges and consecutively fires 6 glowing shields, damaging and knocking back zombies for 1 tile.</v>
      </c>
      <c r="K242" s="64"/>
      <c r="L242" s="64"/>
      <c r="M242" s="64" t="b">
        <f ca="1">IFERROR(__xludf.DUMMYFUNCTION("""COMPUTED_VALUE"""),FALSE)</f>
        <v>0</v>
      </c>
      <c r="N242" s="64" t="b">
        <f ca="1">IFERROR(__xludf.DUMMYFUNCTION("""COMPUTED_VALUE"""),FALSE)</f>
        <v>0</v>
      </c>
      <c r="O242" s="64">
        <f ca="1">IFERROR(__xludf.DUMMYFUNCTION("""COMPUTED_VALUE"""),0)</f>
        <v>0</v>
      </c>
      <c r="P242" s="64" t="str">
        <f ca="1">IFERROR(__xludf.DUMMYFUNCTION("""COMPUTED_VALUE"""),"Rare")</f>
        <v>Rare</v>
      </c>
      <c r="Q242" s="64"/>
      <c r="R242" s="64" t="str">
        <f ca="1">IFERROR(__xludf.DUMMYFUNCTION("""COMPUTED_VALUE"""),"Leaf")</f>
        <v>Leaf</v>
      </c>
      <c r="S242" s="64" t="str">
        <f ca="1">IFERROR(__xludf.DUMMYFUNCTION("""COMPUTED_VALUE"""),"Chinese Natural")</f>
        <v>Chinese Natural</v>
      </c>
      <c r="T242" s="64" t="str">
        <f ca="1">IFERROR(__xludf.DUMMYFUNCTION("""COMPUTED_VALUE"""),"None")</f>
        <v>None</v>
      </c>
      <c r="U242" s="64" t="str">
        <f ca="1">IFERROR(__xludf.DUMMYFUNCTION("""COMPUTED_VALUE"""),"None")</f>
        <v>None</v>
      </c>
      <c r="V242" s="64" t="str">
        <f ca="1">IFERROR(__xludf.DUMMYFUNCTION("""COMPUTED_VALUE"""),"---")</f>
        <v>---</v>
      </c>
      <c r="W242" s="64" t="str">
        <f ca="1">IFERROR(__xludf.DUMMYFUNCTION("""COMPUTED_VALUE"""),"Ranged")</f>
        <v>Ranged</v>
      </c>
      <c r="X242" s="64" t="str">
        <f ca="1">IFERROR(__xludf.DUMMYFUNCTION("""COMPUTED_VALUE"""),"PvZ 2 Chinease")</f>
        <v>PvZ 2 Chinease</v>
      </c>
      <c r="Y242" s="65" t="str">
        <f ca="1">IFERROR(__xludf.DUMMYFUNCTION("""COMPUTED_VALUE"""),"https://static.wikia.nocookie.net/plantsvszombies/images/d/da/Stephania2.png/revision/latest?cb=20210207105812")</f>
        <v>https://static.wikia.nocookie.net/plantsvszombies/images/d/da/Stephania2.png/revision/latest?cb=20210207105812</v>
      </c>
    </row>
    <row r="243" spans="1:25" x14ac:dyDescent="0.2">
      <c r="A243" s="64">
        <f ca="1">IFERROR(__xludf.DUMMYFUNCTION("""COMPUTED_VALUE"""),39)</f>
        <v>39</v>
      </c>
      <c r="B243" s="64" t="str">
        <f ca="1">IFERROR(__xludf.DUMMYFUNCTION("""COMPUTED_VALUE"""),"Tupistra Stalker")</f>
        <v>Tupistra Stalker</v>
      </c>
      <c r="C243" s="64" t="str">
        <f ca="1">IFERROR(__xludf.DUMMYFUNCTION("""COMPUTED_VALUE"""),"Tupistra Sorrateira")</f>
        <v>Tupistra Sorrateira</v>
      </c>
      <c r="D243" s="64" t="str">
        <f ca="1">IFERROR(__xludf.DUMMYFUNCTION("""COMPUTED_VALUE"""),"Perfura")</f>
        <v>Perfura</v>
      </c>
      <c r="E243" s="64" t="str">
        <f ca="1">IFERROR(__xludf.DUMMYFUNCTION("""COMPUTED_VALUE"""),"Golpeia o chão atacando os zumbis adjacentes.")</f>
        <v>Golpeia o chão atacando os zumbis adjacentes.</v>
      </c>
      <c r="F243" s="64">
        <f ca="1">IFERROR(__xludf.DUMMYFUNCTION("""COMPUTED_VALUE"""),200)</f>
        <v>200</v>
      </c>
      <c r="G243" s="64">
        <f ca="1">IFERROR(__xludf.DUMMYFUNCTION("""COMPUTED_VALUE"""),300)</f>
        <v>300</v>
      </c>
      <c r="H243" s="64">
        <f ca="1">IFERROR(__xludf.DUMMYFUNCTION("""COMPUTED_VALUE"""),60)</f>
        <v>60</v>
      </c>
      <c r="I243" s="64">
        <f ca="1">IFERROR(__xludf.DUMMYFUNCTION("""COMPUTED_VALUE"""),7)</f>
        <v>7</v>
      </c>
      <c r="J243" s="64" t="str">
        <f ca="1">IFERROR(__xludf.DUMMYFUNCTION("""COMPUTED_VALUE"""),"Tupistra Stalker immediately leviates and starts spinning, firing 3 rounds of darts at a 3×3 area, hides afterwards.")</f>
        <v>Tupistra Stalker immediately leviates and starts spinning, firing 3 rounds of darts at a 3×3 area, hides afterwards.</v>
      </c>
      <c r="K243" s="64"/>
      <c r="L243" s="64"/>
      <c r="M243" s="64" t="b">
        <f ca="1">IFERROR(__xludf.DUMMYFUNCTION("""COMPUTED_VALUE"""),FALSE)</f>
        <v>0</v>
      </c>
      <c r="N243" s="64" t="b">
        <f ca="1">IFERROR(__xludf.DUMMYFUNCTION("""COMPUTED_VALUE"""),FALSE)</f>
        <v>0</v>
      </c>
      <c r="O243" s="64">
        <f ca="1">IFERROR(__xludf.DUMMYFUNCTION("""COMPUTED_VALUE"""),0)</f>
        <v>0</v>
      </c>
      <c r="P243" s="64" t="str">
        <f ca="1">IFERROR(__xludf.DUMMYFUNCTION("""COMPUTED_VALUE"""),"Epic")</f>
        <v>Epic</v>
      </c>
      <c r="Q243" s="64" t="str">
        <f ca="1">IFERROR(__xludf.DUMMYFUNCTION("""COMPUTED_VALUE"""),"area-effect")</f>
        <v>area-effect</v>
      </c>
      <c r="R243" s="64" t="str">
        <f ca="1">IFERROR(__xludf.DUMMYFUNCTION("""COMPUTED_VALUE"""),"Leaf")</f>
        <v>Leaf</v>
      </c>
      <c r="S243" s="64" t="str">
        <f ca="1">IFERROR(__xludf.DUMMYFUNCTION("""COMPUTED_VALUE"""),"Chinese Natural")</f>
        <v>Chinese Natural</v>
      </c>
      <c r="T243" s="64" t="str">
        <f ca="1">IFERROR(__xludf.DUMMYFUNCTION("""COMPUTED_VALUE"""),"None")</f>
        <v>None</v>
      </c>
      <c r="U243" s="64" t="str">
        <f ca="1">IFERROR(__xludf.DUMMYFUNCTION("""COMPUTED_VALUE"""),"None")</f>
        <v>None</v>
      </c>
      <c r="V243" s="64" t="str">
        <f ca="1">IFERROR(__xludf.DUMMYFUNCTION("""COMPUTED_VALUE"""),"---")</f>
        <v>---</v>
      </c>
      <c r="W243" s="64" t="str">
        <f ca="1">IFERROR(__xludf.DUMMYFUNCTION("""COMPUTED_VALUE"""),"Vanguard")</f>
        <v>Vanguard</v>
      </c>
      <c r="X243" s="64" t="str">
        <f ca="1">IFERROR(__xludf.DUMMYFUNCTION("""COMPUTED_VALUE"""),"PvZ 2 Chinease")</f>
        <v>PvZ 2 Chinease</v>
      </c>
      <c r="Y243" s="65" t="str">
        <f ca="1">IFERROR(__xludf.DUMMYFUNCTION("""COMPUTED_VALUE"""),"https://static.wikia.nocookie.net/plantsvszombies/images/d/d6/Tupistra_Stalker2.png/revision/latest?cb=20210207112128")</f>
        <v>https://static.wikia.nocookie.net/plantsvszombies/images/d/d6/Tupistra_Stalker2.png/revision/latest?cb=20210207112128</v>
      </c>
    </row>
    <row r="244" spans="1:25" x14ac:dyDescent="0.2">
      <c r="A244" s="64">
        <f ca="1">IFERROR(__xludf.DUMMYFUNCTION("""COMPUTED_VALUE"""),40)</f>
        <v>40</v>
      </c>
      <c r="B244" s="64" t="str">
        <f ca="1">IFERROR(__xludf.DUMMYFUNCTION("""COMPUTED_VALUE"""),"Chef Cypripedium‎‎")</f>
        <v>Chef Cypripedium‎‎</v>
      </c>
      <c r="C244" s="64" t="str">
        <f ca="1">IFERROR(__xludf.DUMMYFUNCTION("""COMPUTED_VALUE"""),"Chef Orquídea")</f>
        <v>Chef Orquídea</v>
      </c>
      <c r="D244" s="64" t="str">
        <f ca="1">IFERROR(__xludf.DUMMYFUNCTION("""COMPUTED_VALUE"""),"Envenenada")</f>
        <v>Envenenada</v>
      </c>
      <c r="E244" s="64" t="str">
        <f ca="1">IFERROR(__xludf.DUMMYFUNCTION("""COMPUTED_VALUE"""),"Ensopa zumbis, fazendo que eles troquem de rota.")</f>
        <v>Ensopa zumbis, fazendo que eles troquem de rota.</v>
      </c>
      <c r="F244" s="64">
        <f ca="1">IFERROR(__xludf.DUMMYFUNCTION("""COMPUTED_VALUE"""),150)</f>
        <v>150</v>
      </c>
      <c r="G244" s="64">
        <f ca="1">IFERROR(__xludf.DUMMYFUNCTION("""COMPUTED_VALUE"""),300)</f>
        <v>300</v>
      </c>
      <c r="H244" s="64">
        <f ca="1">IFERROR(__xludf.DUMMYFUNCTION("""COMPUTED_VALUE"""),120)</f>
        <v>120</v>
      </c>
      <c r="I244" s="64">
        <f ca="1">IFERROR(__xludf.DUMMYFUNCTION("""COMPUTED_VALUE"""),10)</f>
        <v>10</v>
      </c>
      <c r="J244" s="64" t="str">
        <f ca="1">IFERROR(__xludf.DUMMYFUNCTION("""COMPUTED_VALUE"""),"Chef Cypripedium squeezes the pot, lobbing a large glob of soup towards the closest zombie in the lane to the right, damaging all zombies in a 5×5 area and giving them bad scent.")</f>
        <v>Chef Cypripedium squeezes the pot, lobbing a large glob of soup towards the closest zombie in the lane to the right, damaging all zombies in a 5×5 area and giving them bad scent.</v>
      </c>
      <c r="K244" s="64"/>
      <c r="L244" s="64"/>
      <c r="M244" s="64" t="b">
        <f ca="1">IFERROR(__xludf.DUMMYFUNCTION("""COMPUTED_VALUE"""),FALSE)</f>
        <v>0</v>
      </c>
      <c r="N244" s="64" t="b">
        <f ca="1">IFERROR(__xludf.DUMMYFUNCTION("""COMPUTED_VALUE"""),FALSE)</f>
        <v>0</v>
      </c>
      <c r="O244" s="64">
        <f ca="1">IFERROR(__xludf.DUMMYFUNCTION("""COMPUTED_VALUE"""),0)</f>
        <v>0</v>
      </c>
      <c r="P244" s="64" t="str">
        <f ca="1">IFERROR(__xludf.DUMMYFUNCTION("""COMPUTED_VALUE"""),"Legendary")</f>
        <v>Legendary</v>
      </c>
      <c r="Q244" s="64" t="str">
        <f ca="1">IFERROR(__xludf.DUMMYFUNCTION("""COMPUTED_VALUE"""),"debuff")</f>
        <v>debuff</v>
      </c>
      <c r="R244" s="64" t="str">
        <f ca="1">IFERROR(__xludf.DUMMYFUNCTION("""COMPUTED_VALUE"""),"Flower")</f>
        <v>Flower</v>
      </c>
      <c r="S244" s="64" t="str">
        <f ca="1">IFERROR(__xludf.DUMMYFUNCTION("""COMPUTED_VALUE"""),"Chinese Natural")</f>
        <v>Chinese Natural</v>
      </c>
      <c r="T244" s="64" t="str">
        <f ca="1">IFERROR(__xludf.DUMMYFUNCTION("""COMPUTED_VALUE"""),"None")</f>
        <v>None</v>
      </c>
      <c r="U244" s="64" t="str">
        <f ca="1">IFERROR(__xludf.DUMMYFUNCTION("""COMPUTED_VALUE"""),"None")</f>
        <v>None</v>
      </c>
      <c r="V244" s="64" t="str">
        <f ca="1">IFERROR(__xludf.DUMMYFUNCTION("""COMPUTED_VALUE"""),"---")</f>
        <v>---</v>
      </c>
      <c r="W244" s="64" t="str">
        <f ca="1">IFERROR(__xludf.DUMMYFUNCTION("""COMPUTED_VALUE"""),"Ranged")</f>
        <v>Ranged</v>
      </c>
      <c r="X244" s="64" t="str">
        <f ca="1">IFERROR(__xludf.DUMMYFUNCTION("""COMPUTED_VALUE"""),"PvZ 2 Chinease")</f>
        <v>PvZ 2 Chinease</v>
      </c>
      <c r="Y244" s="65" t="str">
        <f ca="1">IFERROR(__xludf.DUMMYFUNCTION("""COMPUTED_VALUE"""),"https://static.wikia.nocookie.net/plantsvszombies/images/6/63/Chef_Cypripedium2.png/revision/latest?cb=20210207112340")</f>
        <v>https://static.wikia.nocookie.net/plantsvszombies/images/6/63/Chef_Cypripedium2.png/revision/latest?cb=20210207112340</v>
      </c>
    </row>
    <row r="245" spans="1:25" x14ac:dyDescent="0.2">
      <c r="A245" s="64">
        <f ca="1">IFERROR(__xludf.DUMMYFUNCTION("""COMPUTED_VALUE"""),41)</f>
        <v>41</v>
      </c>
      <c r="B245" s="64" t="str">
        <f ca="1">IFERROR(__xludf.DUMMYFUNCTION("""COMPUTED_VALUE"""),"Boophone Geigi")</f>
        <v>Boophone Geigi</v>
      </c>
      <c r="C245" s="64" t="str">
        <f ca="1">IFERROR(__xludf.DUMMYFUNCTION("""COMPUTED_VALUE"""),"Geixa Boophone")</f>
        <v>Geixa Boophone</v>
      </c>
      <c r="D245" s="64" t="str">
        <f ca="1">IFERROR(__xludf.DUMMYFUNCTION("""COMPUTED_VALUE"""),"Perfura")</f>
        <v>Perfura</v>
      </c>
      <c r="E245" s="64" t="str">
        <f ca="1">IFERROR(__xludf.DUMMYFUNCTION("""COMPUTED_VALUE"""),"Um leque de flores que retorna pode causar danos a zumbis dentro do seu alcance de ataque")</f>
        <v>Um leque de flores que retorna pode causar danos a zumbis dentro do seu alcance de ataque</v>
      </c>
      <c r="F245" s="64">
        <f ca="1">IFERROR(__xludf.DUMMYFUNCTION("""COMPUTED_VALUE"""),175)</f>
        <v>175</v>
      </c>
      <c r="G245" s="64">
        <f ca="1">IFERROR(__xludf.DUMMYFUNCTION("""COMPUTED_VALUE"""),300)</f>
        <v>300</v>
      </c>
      <c r="H245" s="64">
        <f ca="1">IFERROR(__xludf.DUMMYFUNCTION("""COMPUTED_VALUE"""),120)</f>
        <v>120</v>
      </c>
      <c r="I245" s="64">
        <f ca="1">IFERROR(__xludf.DUMMYFUNCTION("""COMPUTED_VALUE"""),10)</f>
        <v>10</v>
      </c>
      <c r="J245" s="64" t="str">
        <f ca="1">IFERROR(__xludf.DUMMYFUNCTION("""COMPUTED_VALUE"""),"Boophone Geigi lights on fire, throwing 1 burning large fan flower to the right, after hitting a zombie, damages all zombies in a 3×3 area and splits into 2 flower fans returning in an arc from neighbouring lanes.")</f>
        <v>Boophone Geigi lights on fire, throwing 1 burning large fan flower to the right, after hitting a zombie, damages all zombies in a 3×3 area and splits into 2 flower fans returning in an arc from neighbouring lanes.</v>
      </c>
      <c r="K245" s="64" t="str">
        <f ca="1">IFERROR(__xludf.DUMMYFUNCTION("""COMPUTED_VALUE"""),"Can not only attack zombies down its current row, but also damages zombies in other rows when its fan flies back.")</f>
        <v>Can not only attack zombies down its current row, but also damages zombies in other rows when its fan flies back.</v>
      </c>
      <c r="L245" s="64"/>
      <c r="M245" s="64" t="b">
        <f ca="1">IFERROR(__xludf.DUMMYFUNCTION("""COMPUTED_VALUE"""),FALSE)</f>
        <v>0</v>
      </c>
      <c r="N245" s="64" t="b">
        <f ca="1">IFERROR(__xludf.DUMMYFUNCTION("""COMPUTED_VALUE"""),FALSE)</f>
        <v>0</v>
      </c>
      <c r="O245" s="64">
        <f ca="1">IFERROR(__xludf.DUMMYFUNCTION("""COMPUTED_VALUE"""),0)</f>
        <v>0</v>
      </c>
      <c r="P245" s="64" t="str">
        <f ca="1">IFERROR(__xludf.DUMMYFUNCTION("""COMPUTED_VALUE"""),"Legendary")</f>
        <v>Legendary</v>
      </c>
      <c r="Q245" s="64"/>
      <c r="R245" s="64" t="str">
        <f ca="1">IFERROR(__xludf.DUMMYFUNCTION("""COMPUTED_VALUE"""),"Leaf")</f>
        <v>Leaf</v>
      </c>
      <c r="S245" s="64" t="str">
        <f ca="1">IFERROR(__xludf.DUMMYFUNCTION("""COMPUTED_VALUE"""),"Chinese Natural")</f>
        <v>Chinese Natural</v>
      </c>
      <c r="T245" s="64" t="str">
        <f ca="1">IFERROR(__xludf.DUMMYFUNCTION("""COMPUTED_VALUE"""),"None")</f>
        <v>None</v>
      </c>
      <c r="U245" s="64" t="str">
        <f ca="1">IFERROR(__xludf.DUMMYFUNCTION("""COMPUTED_VALUE"""),"None")</f>
        <v>None</v>
      </c>
      <c r="V245" s="64" t="str">
        <f ca="1">IFERROR(__xludf.DUMMYFUNCTION("""COMPUTED_VALUE"""),"---")</f>
        <v>---</v>
      </c>
      <c r="W245" s="64" t="str">
        <f ca="1">IFERROR(__xludf.DUMMYFUNCTION("""COMPUTED_VALUE"""),"Ranged")</f>
        <v>Ranged</v>
      </c>
      <c r="X245" s="64" t="str">
        <f ca="1">IFERROR(__xludf.DUMMYFUNCTION("""COMPUTED_VALUE"""),"PvZ 2 Chinease")</f>
        <v>PvZ 2 Chinease</v>
      </c>
      <c r="Y245" s="65" t="str">
        <f ca="1">IFERROR(__xludf.DUMMYFUNCTION("""COMPUTED_VALUE"""),"https://static.wikia.nocookie.net/plantsvszombies/images/a/ae/Boophone_Geigi2.png/revision/latest?cb=20210413014707")</f>
        <v>https://static.wikia.nocookie.net/plantsvszombies/images/a/ae/Boophone_Geigi2.png/revision/latest?cb=20210413014707</v>
      </c>
    </row>
    <row r="246" spans="1:25" x14ac:dyDescent="0.2">
      <c r="A246" s="64">
        <f ca="1">IFERROR(__xludf.DUMMYFUNCTION("""COMPUTED_VALUE"""),42)</f>
        <v>42</v>
      </c>
      <c r="B246" s="64" t="str">
        <f ca="1">IFERROR(__xludf.DUMMYFUNCTION("""COMPUTED_VALUE"""),"Hat Mushroom")</f>
        <v>Hat Mushroom</v>
      </c>
      <c r="C246" s="64" t="str">
        <f ca="1">IFERROR(__xludf.DUMMYFUNCTION("""COMPUTED_VALUE"""),"Chapéu-gumelo")</f>
        <v>Chapéu-gumelo</v>
      </c>
      <c r="D246" s="64" t="str">
        <f ca="1">IFERROR(__xludf.DUMMYFUNCTION("""COMPUTED_VALUE"""),"Dispara")</f>
        <v>Dispara</v>
      </c>
      <c r="E246" s="64" t="str">
        <f ca="1">IFERROR(__xludf.DUMMYFUNCTION("""COMPUTED_VALUE"""),"joga o chapéu de sua cabeça para atacar os zumbis à sua frente.")</f>
        <v>joga o chapéu de sua cabeça para atacar os zumbis à sua frente.</v>
      </c>
      <c r="F246" s="64">
        <f ca="1">IFERROR(__xludf.DUMMYFUNCTION("""COMPUTED_VALUE"""),200)</f>
        <v>200</v>
      </c>
      <c r="G246" s="64">
        <f ca="1">IFERROR(__xludf.DUMMYFUNCTION("""COMPUTED_VALUE"""),300)</f>
        <v>300</v>
      </c>
      <c r="H246" s="64">
        <f ca="1">IFERROR(__xludf.DUMMYFUNCTION("""COMPUTED_VALUE"""),60)</f>
        <v>60</v>
      </c>
      <c r="I246" s="64">
        <f ca="1">IFERROR(__xludf.DUMMYFUNCTION("""COMPUTED_VALUE"""),5)</f>
        <v>5</v>
      </c>
      <c r="J246" s="64" t="str">
        <f ca="1">IFERROR(__xludf.DUMMYFUNCTION("""COMPUTED_VALUE"""),"Hat Mushroom will quickly throw 5 hats towards 5 closest zombies on the right, hats will bounce between zombies, each bounce dealing 3 times the original damage. Each hat can bounce at most 2 times and destroy the shield of the first target.")</f>
        <v>Hat Mushroom will quickly throw 5 hats towards 5 closest zombies on the right, hats will bounce between zombies, each bounce dealing 3 times the original damage. Each hat can bounce at most 2 times and destroy the shield of the first target.</v>
      </c>
      <c r="K246" s="64" t="str">
        <f ca="1">IFERROR(__xludf.DUMMYFUNCTION("""COMPUTED_VALUE"""),"Range all row ahead")</f>
        <v>Range all row ahead</v>
      </c>
      <c r="L246" s="64" t="str">
        <f ca="1">IFERROR(__xludf.DUMMYFUNCTION("""COMPUTED_VALUE"""),"Special - Hat Mushroom throws the hat on its head to attack the zombies in front of it.")</f>
        <v>Special - Hat Mushroom throws the hat on its head to attack the zombies in front of it.</v>
      </c>
      <c r="M246" s="64" t="b">
        <f ca="1">IFERROR(__xludf.DUMMYFUNCTION("""COMPUTED_VALUE"""),FALSE)</f>
        <v>0</v>
      </c>
      <c r="N246" s="64" t="b">
        <f ca="1">IFERROR(__xludf.DUMMYFUNCTION("""COMPUTED_VALUE"""),FALSE)</f>
        <v>0</v>
      </c>
      <c r="O246" s="64">
        <f ca="1">IFERROR(__xludf.DUMMYFUNCTION("""COMPUTED_VALUE"""),0)</f>
        <v>0</v>
      </c>
      <c r="P246" s="64" t="str">
        <f ca="1">IFERROR(__xludf.DUMMYFUNCTION("""COMPUTED_VALUE"""),"Legendary")</f>
        <v>Legendary</v>
      </c>
      <c r="Q246" s="64" t="str">
        <f ca="1">IFERROR(__xludf.DUMMYFUNCTION("""COMPUTED_VALUE"""),"control")</f>
        <v>control</v>
      </c>
      <c r="R246" s="64" t="str">
        <f ca="1">IFERROR(__xludf.DUMMYFUNCTION("""COMPUTED_VALUE"""),"Murshroom")</f>
        <v>Murshroom</v>
      </c>
      <c r="S246" s="64" t="str">
        <f ca="1">IFERROR(__xludf.DUMMYFUNCTION("""COMPUTED_VALUE"""),"Chinese Natural")</f>
        <v>Chinese Natural</v>
      </c>
      <c r="T246" s="64" t="str">
        <f ca="1">IFERROR(__xludf.DUMMYFUNCTION("""COMPUTED_VALUE"""),"None")</f>
        <v>None</v>
      </c>
      <c r="U246" s="64" t="str">
        <f ca="1">IFERROR(__xludf.DUMMYFUNCTION("""COMPUTED_VALUE"""),"None")</f>
        <v>None</v>
      </c>
      <c r="V246" s="64" t="str">
        <f ca="1">IFERROR(__xludf.DUMMYFUNCTION("""COMPUTED_VALUE"""),"---")</f>
        <v>---</v>
      </c>
      <c r="W246" s="64" t="str">
        <f ca="1">IFERROR(__xludf.DUMMYFUNCTION("""COMPUTED_VALUE"""),"Ranged")</f>
        <v>Ranged</v>
      </c>
      <c r="X246" s="64" t="str">
        <f ca="1">IFERROR(__xludf.DUMMYFUNCTION("""COMPUTED_VALUE"""),"PvZ 2 Chinease")</f>
        <v>PvZ 2 Chinease</v>
      </c>
      <c r="Y246" s="65" t="str">
        <f ca="1">IFERROR(__xludf.DUMMYFUNCTION("""COMPUTED_VALUE"""),"https://static.wikia.nocookie.net/plantsvszombies/images/1/18/Hat_Mushroom2.png/revision/latest?cb=20220729021042")</f>
        <v>https://static.wikia.nocookie.net/plantsvszombies/images/1/18/Hat_Mushroom2.png/revision/latest?cb=20220729021042</v>
      </c>
    </row>
    <row r="247" spans="1:25" x14ac:dyDescent="0.2">
      <c r="A247" s="64">
        <f ca="1">IFERROR(__xludf.DUMMYFUNCTION("""COMPUTED_VALUE"""),43)</f>
        <v>43</v>
      </c>
      <c r="B247" s="64" t="str">
        <f ca="1">IFERROR(__xludf.DUMMYFUNCTION("""COMPUTED_VALUE"""),"Ents")</f>
        <v>Ents</v>
      </c>
      <c r="C247" s="64" t="str">
        <f ca="1">IFERROR(__xludf.DUMMYFUNCTION("""COMPUTED_VALUE"""),"Ents")</f>
        <v>Ents</v>
      </c>
      <c r="D247" s="64" t="str">
        <f ca="1">IFERROR(__xludf.DUMMYFUNCTION("""COMPUTED_VALUE"""),"Endurecida")</f>
        <v>Endurecida</v>
      </c>
      <c r="E247" s="64" t="str">
        <f ca="1">IFERROR(__xludf.DUMMYFUNCTION("""COMPUTED_VALUE"""),"Pode regenerar a própria vida.")</f>
        <v>Pode regenerar a própria vida.</v>
      </c>
      <c r="F247" s="64">
        <f ca="1">IFERROR(__xludf.DUMMYFUNCTION("""COMPUTED_VALUE"""),100)</f>
        <v>100</v>
      </c>
      <c r="G247" s="64">
        <f ca="1">IFERROR(__xludf.DUMMYFUNCTION("""COMPUTED_VALUE"""),6000)</f>
        <v>6000</v>
      </c>
      <c r="H247" s="64">
        <f ca="1">IFERROR(__xludf.DUMMYFUNCTION("""COMPUTED_VALUE"""),15)</f>
        <v>15</v>
      </c>
      <c r="I247" s="64">
        <f ca="1">IFERROR(__xludf.DUMMYFUNCTION("""COMPUTED_VALUE"""),15)</f>
        <v>15</v>
      </c>
      <c r="J247" s="64" t="str">
        <f ca="1">IFERROR(__xludf.DUMMYFUNCTION("""COMPUTED_VALUE"""),"Ents will attack all zombies in front of it in an 3x3 area, bouncing zombies in the air at the end, stunning them, and also break the Magic Shields.")</f>
        <v>Ents will attack all zombies in front of it in an 3x3 area, bouncing zombies in the air at the end, stunning them, and also break the Magic Shields.</v>
      </c>
      <c r="K247" s="64" t="str">
        <f ca="1">IFERROR(__xludf.DUMMYFUNCTION("""COMPUTED_VALUE"""),"Attack range 2 tiles ahead")</f>
        <v>Attack range 2 tiles ahead</v>
      </c>
      <c r="L247" s="64" t="str">
        <f ca="1">IFERROR(__xludf.DUMMYFUNCTION("""COMPUTED_VALUE"""),"Special - Restores own health when given room to breathe")</f>
        <v>Special - Restores own health when given room to breathe</v>
      </c>
      <c r="M247" s="64" t="b">
        <f ca="1">IFERROR(__xludf.DUMMYFUNCTION("""COMPUTED_VALUE"""),FALSE)</f>
        <v>0</v>
      </c>
      <c r="N247" s="64" t="b">
        <f ca="1">IFERROR(__xludf.DUMMYFUNCTION("""COMPUTED_VALUE"""),FALSE)</f>
        <v>0</v>
      </c>
      <c r="O247" s="64">
        <f ca="1">IFERROR(__xludf.DUMMYFUNCTION("""COMPUTED_VALUE"""),0)</f>
        <v>0</v>
      </c>
      <c r="P247" s="64" t="str">
        <f ca="1">IFERROR(__xludf.DUMMYFUNCTION("""COMPUTED_VALUE"""),"Legendary")</f>
        <v>Legendary</v>
      </c>
      <c r="Q247" s="64" t="str">
        <f ca="1">IFERROR(__xludf.DUMMYFUNCTION("""COMPUTED_VALUE"""),"heals")</f>
        <v>heals</v>
      </c>
      <c r="R247" s="64" t="str">
        <f ca="1">IFERROR(__xludf.DUMMYFUNCTION("""COMPUTED_VALUE"""),"Wood")</f>
        <v>Wood</v>
      </c>
      <c r="S247" s="64" t="str">
        <f ca="1">IFERROR(__xludf.DUMMYFUNCTION("""COMPUTED_VALUE"""),"Chinese Natural")</f>
        <v>Chinese Natural</v>
      </c>
      <c r="T247" s="64" t="str">
        <f ca="1">IFERROR(__xludf.DUMMYFUNCTION("""COMPUTED_VALUE"""),"None")</f>
        <v>None</v>
      </c>
      <c r="U247" s="64" t="str">
        <f ca="1">IFERROR(__xludf.DUMMYFUNCTION("""COMPUTED_VALUE"""),"None")</f>
        <v>None</v>
      </c>
      <c r="V247" s="64" t="str">
        <f ca="1">IFERROR(__xludf.DUMMYFUNCTION("""COMPUTED_VALUE"""),"---")</f>
        <v>---</v>
      </c>
      <c r="W247" s="64" t="str">
        <f ca="1">IFERROR(__xludf.DUMMYFUNCTION("""COMPUTED_VALUE"""),"Tough")</f>
        <v>Tough</v>
      </c>
      <c r="X247" s="64" t="str">
        <f ca="1">IFERROR(__xludf.DUMMYFUNCTION("""COMPUTED_VALUE"""),"PvZ 2 Chinease")</f>
        <v>PvZ 2 Chinease</v>
      </c>
      <c r="Y247" s="65" t="str">
        <f ca="1">IFERROR(__xludf.DUMMYFUNCTION("""COMPUTED_VALUE"""),"https://static.wikia.nocookie.net/plantsvszombies/images/7/7a/Ents2.png/revision/latest?cb=20220729021122")</f>
        <v>https://static.wikia.nocookie.net/plantsvszombies/images/7/7a/Ents2.png/revision/latest?cb=20220729021122</v>
      </c>
    </row>
    <row r="248" spans="1:25" x14ac:dyDescent="0.2">
      <c r="A248" s="64">
        <f ca="1">IFERROR(__xludf.DUMMYFUNCTION("""COMPUTED_VALUE"""),44)</f>
        <v>44</v>
      </c>
      <c r="B248" s="64" t="str">
        <f ca="1">IFERROR(__xludf.DUMMYFUNCTION("""COMPUTED_VALUE"""),"Princess Spring Grass")</f>
        <v>Princess Spring Grass</v>
      </c>
      <c r="C248" s="64" t="str">
        <f ca="1">IFERROR(__xludf.DUMMYFUNCTION("""COMPUTED_VALUE"""),"Princesa Grama da primavera")</f>
        <v>Princesa Grama da primavera</v>
      </c>
      <c r="D248" s="64" t="str">
        <f ca="1">IFERROR(__xludf.DUMMYFUNCTION("""COMPUTED_VALUE"""),"Encanta")</f>
        <v>Encanta</v>
      </c>
      <c r="E248" s="64" t="str">
        <f ca="1">IFERROR(__xludf.DUMMYFUNCTION("""COMPUTED_VALUE"""),"Ataca zumbis e os afastam.")</f>
        <v>Ataca zumbis e os afastam.</v>
      </c>
      <c r="F248" s="64">
        <f ca="1">IFERROR(__xludf.DUMMYFUNCTION("""COMPUTED_VALUE"""),250)</f>
        <v>250</v>
      </c>
      <c r="G248" s="64">
        <f ca="1">IFERROR(__xludf.DUMMYFUNCTION("""COMPUTED_VALUE"""),300)</f>
        <v>300</v>
      </c>
      <c r="H248" s="64">
        <f ca="1">IFERROR(__xludf.DUMMYFUNCTION("""COMPUTED_VALUE"""),60)</f>
        <v>60</v>
      </c>
      <c r="I248" s="64">
        <f ca="1">IFERROR(__xludf.DUMMYFUNCTION("""COMPUTED_VALUE"""),5)</f>
        <v>5</v>
      </c>
      <c r="J248" s="64" t="str">
        <f ca="1">IFERROR(__xludf.DUMMYFUNCTION("""COMPUTED_VALUE"""),"Princess Spring Grass fires one spring for each zombie on the lawn. Spring knocks back a zombie for 1 tile, dealing damage.")</f>
        <v>Princess Spring Grass fires one spring for each zombie on the lawn. Spring knocks back a zombie for 1 tile, dealing damage.</v>
      </c>
      <c r="K248" s="64" t="str">
        <f ca="1">IFERROR(__xludf.DUMMYFUNCTION("""COMPUTED_VALUE"""),"Attack range 3 rows ahead")</f>
        <v>Attack range 3 rows ahead</v>
      </c>
      <c r="L248" s="64" t="str">
        <f ca="1">IFERROR(__xludf.DUMMYFUNCTION("""COMPUTED_VALUE"""),"Special - Shoots springs at zombies to bounce them back.")</f>
        <v>Special - Shoots springs at zombies to bounce them back.</v>
      </c>
      <c r="M248" s="64" t="b">
        <f ca="1">IFERROR(__xludf.DUMMYFUNCTION("""COMPUTED_VALUE"""),FALSE)</f>
        <v>0</v>
      </c>
      <c r="N248" s="64" t="b">
        <f ca="1">IFERROR(__xludf.DUMMYFUNCTION("""COMPUTED_VALUE"""),FALSE)</f>
        <v>0</v>
      </c>
      <c r="O248" s="64">
        <f ca="1">IFERROR(__xludf.DUMMYFUNCTION("""COMPUTED_VALUE"""),0)</f>
        <v>0</v>
      </c>
      <c r="P248" s="64" t="str">
        <f ca="1">IFERROR(__xludf.DUMMYFUNCTION("""COMPUTED_VALUE"""),"Legendary")</f>
        <v>Legendary</v>
      </c>
      <c r="Q248" s="64"/>
      <c r="R248" s="64" t="str">
        <f ca="1">IFERROR(__xludf.DUMMYFUNCTION("""COMPUTED_VALUE"""),"Leaf")</f>
        <v>Leaf</v>
      </c>
      <c r="S248" s="64" t="str">
        <f ca="1">IFERROR(__xludf.DUMMYFUNCTION("""COMPUTED_VALUE"""),"Chinese Natural")</f>
        <v>Chinese Natural</v>
      </c>
      <c r="T248" s="64" t="str">
        <f ca="1">IFERROR(__xludf.DUMMYFUNCTION("""COMPUTED_VALUE"""),"None")</f>
        <v>None</v>
      </c>
      <c r="U248" s="64" t="str">
        <f ca="1">IFERROR(__xludf.DUMMYFUNCTION("""COMPUTED_VALUE"""),"None")</f>
        <v>None</v>
      </c>
      <c r="V248" s="64" t="str">
        <f ca="1">IFERROR(__xludf.DUMMYFUNCTION("""COMPUTED_VALUE"""),"---")</f>
        <v>---</v>
      </c>
      <c r="W248" s="64" t="str">
        <f ca="1">IFERROR(__xludf.DUMMYFUNCTION("""COMPUTED_VALUE"""),"Ranged")</f>
        <v>Ranged</v>
      </c>
      <c r="X248" s="64" t="str">
        <f ca="1">IFERROR(__xludf.DUMMYFUNCTION("""COMPUTED_VALUE"""),"PvZ 2 Chinease")</f>
        <v>PvZ 2 Chinease</v>
      </c>
      <c r="Y248" s="65" t="str">
        <f ca="1">IFERROR(__xludf.DUMMYFUNCTION("""COMPUTED_VALUE"""),"https://static.wikia.nocookie.net/plantsvszombies/images/8/85/Princess_Spring_Grass2.png/revision/latest?cb=20220729021016")</f>
        <v>https://static.wikia.nocookie.net/plantsvszombies/images/8/85/Princess_Spring_Grass2.png/revision/latest?cb=20220729021016</v>
      </c>
    </row>
    <row r="249" spans="1:25" x14ac:dyDescent="0.2">
      <c r="A249" s="64">
        <f ca="1">IFERROR(__xludf.DUMMYFUNCTION("""COMPUTED_VALUE"""),45)</f>
        <v>45</v>
      </c>
      <c r="B249" s="64" t="str">
        <f ca="1">IFERROR(__xludf.DUMMYFUNCTION("""COMPUTED_VALUE"""),"Bamboo Trooper")</f>
        <v>Bamboo Trooper</v>
      </c>
      <c r="C249" s="64" t="str">
        <f ca="1">IFERROR(__xludf.DUMMYFUNCTION("""COMPUTED_VALUE"""),"Tropa Bambu")</f>
        <v>Tropa Bambu</v>
      </c>
      <c r="D249" s="64" t="str">
        <f ca="1">IFERROR(__xludf.DUMMYFUNCTION("""COMPUTED_VALUE"""),"Perfura")</f>
        <v>Perfura</v>
      </c>
      <c r="E249" s="64" t="str">
        <f ca="1">IFERROR(__xludf.DUMMYFUNCTION("""COMPUTED_VALUE"""),"Dispara uma broca que desacelera zumbis e perfura eles.")</f>
        <v>Dispara uma broca que desacelera zumbis e perfura eles.</v>
      </c>
      <c r="F249" s="64">
        <f ca="1">IFERROR(__xludf.DUMMYFUNCTION("""COMPUTED_VALUE"""),200)</f>
        <v>200</v>
      </c>
      <c r="G249" s="64">
        <f ca="1">IFERROR(__xludf.DUMMYFUNCTION("""COMPUTED_VALUE"""),300)</f>
        <v>300</v>
      </c>
      <c r="H249" s="64">
        <f ca="1">IFERROR(__xludf.DUMMYFUNCTION("""COMPUTED_VALUE"""),100)</f>
        <v>100</v>
      </c>
      <c r="I249" s="64">
        <f ca="1">IFERROR(__xludf.DUMMYFUNCTION("""COMPUTED_VALUE"""),5)</f>
        <v>5</v>
      </c>
      <c r="J249" s="64" t="str">
        <f ca="1">IFERROR(__xludf.DUMMYFUNCTION("""COMPUTED_VALUE"""),"Bamboo Trooper immediately fires 1 gigantic drill projectile towards three rows to the right, slowing and damaging zombies they pass through, dealing high single-tile damage upon exploding.")</f>
        <v>Bamboo Trooper immediately fires 1 gigantic drill projectile towards three rows to the right, slowing and damaging zombies they pass through, dealing high single-tile damage upon exploding.</v>
      </c>
      <c r="K249" s="64" t="str">
        <f ca="1">IFERROR(__xludf.DUMMYFUNCTION("""COMPUTED_VALUE"""),"Attack range 1 row ahead")</f>
        <v>Attack range 1 row ahead</v>
      </c>
      <c r="L249" s="64" t="str">
        <f ca="1">IFERROR(__xludf.DUMMYFUNCTION("""COMPUTED_VALUE"""),"Special - 
Fires a bullet that penetrates forward, slowing penetrated zombies.")</f>
        <v>Special - 
Fires a bullet that penetrates forward, slowing penetrated zombies.</v>
      </c>
      <c r="M249" s="64" t="b">
        <f ca="1">IFERROR(__xludf.DUMMYFUNCTION("""COMPUTED_VALUE"""),FALSE)</f>
        <v>0</v>
      </c>
      <c r="N249" s="64" t="b">
        <f ca="1">IFERROR(__xludf.DUMMYFUNCTION("""COMPUTED_VALUE"""),FALSE)</f>
        <v>0</v>
      </c>
      <c r="O249" s="64">
        <f ca="1">IFERROR(__xludf.DUMMYFUNCTION("""COMPUTED_VALUE"""),0)</f>
        <v>0</v>
      </c>
      <c r="P249" s="64" t="str">
        <f ca="1">IFERROR(__xludf.DUMMYFUNCTION("""COMPUTED_VALUE"""),"Legendary")</f>
        <v>Legendary</v>
      </c>
      <c r="Q249" s="64" t="str">
        <f ca="1">IFERROR(__xludf.DUMMYFUNCTION("""COMPUTED_VALUE"""),"area-effect, slowing, explosive")</f>
        <v>area-effect, slowing, explosive</v>
      </c>
      <c r="R249" s="64" t="str">
        <f ca="1">IFERROR(__xludf.DUMMYFUNCTION("""COMPUTED_VALUE"""),"Leaf")</f>
        <v>Leaf</v>
      </c>
      <c r="S249" s="64" t="str">
        <f ca="1">IFERROR(__xludf.DUMMYFUNCTION("""COMPUTED_VALUE"""),"Chinese Natural")</f>
        <v>Chinese Natural</v>
      </c>
      <c r="T249" s="64" t="str">
        <f ca="1">IFERROR(__xludf.DUMMYFUNCTION("""COMPUTED_VALUE"""),"None")</f>
        <v>None</v>
      </c>
      <c r="U249" s="64" t="str">
        <f ca="1">IFERROR(__xludf.DUMMYFUNCTION("""COMPUTED_VALUE"""),"None")</f>
        <v>None</v>
      </c>
      <c r="V249" s="64" t="str">
        <f ca="1">IFERROR(__xludf.DUMMYFUNCTION("""COMPUTED_VALUE"""),"---")</f>
        <v>---</v>
      </c>
      <c r="W249" s="64" t="str">
        <f ca="1">IFERROR(__xludf.DUMMYFUNCTION("""COMPUTED_VALUE"""),"Ranged")</f>
        <v>Ranged</v>
      </c>
      <c r="X249" s="64" t="str">
        <f ca="1">IFERROR(__xludf.DUMMYFUNCTION("""COMPUTED_VALUE"""),"PvZ 2 Chinease")</f>
        <v>PvZ 2 Chinease</v>
      </c>
      <c r="Y249" s="65" t="str">
        <f ca="1">IFERROR(__xludf.DUMMYFUNCTION("""COMPUTED_VALUE"""),"https://static.wikia.nocookie.net/plantsvszombies/images/1/17/Bamboo_Trooper2.png/revision/latest?cb=20220728220644")</f>
        <v>https://static.wikia.nocookie.net/plantsvszombies/images/1/17/Bamboo_Trooper2.png/revision/latest?cb=20220728220644</v>
      </c>
    </row>
    <row r="250" spans="1:25" x14ac:dyDescent="0.2">
      <c r="A250" s="64">
        <f ca="1">IFERROR(__xludf.DUMMYFUNCTION("""COMPUTED_VALUE"""),46)</f>
        <v>46</v>
      </c>
      <c r="B250" s="64" t="str">
        <f ca="1">IFERROR(__xludf.DUMMYFUNCTION("""COMPUTED_VALUE"""),"Pyro-shroom")</f>
        <v>Pyro-shroom</v>
      </c>
      <c r="C250" s="64" t="str">
        <f ca="1">IFERROR(__xludf.DUMMYFUNCTION("""COMPUTED_VALUE"""),"Pirogumelo")</f>
        <v>Pirogumelo</v>
      </c>
      <c r="D250" s="64" t="str">
        <f ca="1">IFERROR(__xludf.DUMMYFUNCTION("""COMPUTED_VALUE"""),"Aquecida")</f>
        <v>Aquecida</v>
      </c>
      <c r="E250" s="64" t="str">
        <f ca="1">IFERROR(__xludf.DUMMYFUNCTION("""COMPUTED_VALUE"""),"Grows with the release of his increasingly powerful magic attack in front of the zombies.")</f>
        <v>Grows with the release of his increasingly powerful magic attack in front of the zombies.</v>
      </c>
      <c r="F250" s="64">
        <f ca="1">IFERROR(__xludf.DUMMYFUNCTION("""COMPUTED_VALUE"""),225)</f>
        <v>225</v>
      </c>
      <c r="G250" s="64">
        <f ca="1">IFERROR(__xludf.DUMMYFUNCTION("""COMPUTED_VALUE"""),300)</f>
        <v>300</v>
      </c>
      <c r="H250" s="64">
        <f ca="1">IFERROR(__xludf.DUMMYFUNCTION("""COMPUTED_VALUE"""),36)</f>
        <v>36</v>
      </c>
      <c r="I250" s="64">
        <f ca="1">IFERROR(__xludf.DUMMYFUNCTION("""COMPUTED_VALUE"""),45784)</f>
        <v>45784</v>
      </c>
      <c r="J250" s="64" t="str">
        <f ca="1">IFERROR(__xludf.DUMMYFUNCTION("""COMPUTED_VALUE"""),"Immediately grows to the third stage, creates a wall of fire, blocking and damaging zombies for 7 seconds.")</f>
        <v>Immediately grows to the third stage, creates a wall of fire, blocking and damaging zombies for 7 seconds.</v>
      </c>
      <c r="K250" s="64"/>
      <c r="L250" s="64" t="str">
        <f ca="1">IFERROR(__xludf.DUMMYFUNCTION("""COMPUTED_VALUE"""),"Special - Grows with the release of his increasingly powerful magic attack in front of the zombies.")</f>
        <v>Special - Grows with the release of his increasingly powerful magic attack in front of the zombies.</v>
      </c>
      <c r="M250" s="64" t="b">
        <f ca="1">IFERROR(__xludf.DUMMYFUNCTION("""COMPUTED_VALUE"""),FALSE)</f>
        <v>0</v>
      </c>
      <c r="N250" s="64" t="b">
        <f ca="1">IFERROR(__xludf.DUMMYFUNCTION("""COMPUTED_VALUE"""),FALSE)</f>
        <v>0</v>
      </c>
      <c r="O250" s="64">
        <f ca="1">IFERROR(__xludf.DUMMYFUNCTION("""COMPUTED_VALUE"""),0)</f>
        <v>0</v>
      </c>
      <c r="P250" s="64" t="str">
        <f ca="1">IFERROR(__xludf.DUMMYFUNCTION("""COMPUTED_VALUE"""),"Epic")</f>
        <v>Epic</v>
      </c>
      <c r="Q250" s="64"/>
      <c r="R250" s="64" t="str">
        <f ca="1">IFERROR(__xludf.DUMMYFUNCTION("""COMPUTED_VALUE"""),"Murshroom")</f>
        <v>Murshroom</v>
      </c>
      <c r="S250" s="64" t="str">
        <f ca="1">IFERROR(__xludf.DUMMYFUNCTION("""COMPUTED_VALUE"""),"Chinese Sementium")</f>
        <v>Chinese Sementium</v>
      </c>
      <c r="T250" s="64" t="str">
        <f ca="1">IFERROR(__xludf.DUMMYFUNCTION("""COMPUTED_VALUE"""),"None")</f>
        <v>None</v>
      </c>
      <c r="U250" s="64" t="str">
        <f ca="1">IFERROR(__xludf.DUMMYFUNCTION("""COMPUTED_VALUE"""),"None")</f>
        <v>None</v>
      </c>
      <c r="V250" s="64" t="str">
        <f ca="1">IFERROR(__xludf.DUMMYFUNCTION("""COMPUTED_VALUE"""),"---")</f>
        <v>---</v>
      </c>
      <c r="W250" s="64" t="str">
        <f ca="1">IFERROR(__xludf.DUMMYFUNCTION("""COMPUTED_VALUE"""),"Ranged")</f>
        <v>Ranged</v>
      </c>
      <c r="X250" s="64" t="str">
        <f ca="1">IFERROR(__xludf.DUMMYFUNCTION("""COMPUTED_VALUE"""),"PvZ 2 Chinease")</f>
        <v>PvZ 2 Chinease</v>
      </c>
      <c r="Y250" s="65" t="str">
        <f ca="1">IFERROR(__xludf.DUMMYFUNCTION("""COMPUTED_VALUE"""),"https://static.wikia.nocookie.net/plantsvszombies/images/a/a1/Pyro-shroom2.png/revision/latest?cb=20230226070859")</f>
        <v>https://static.wikia.nocookie.net/plantsvszombies/images/a/a1/Pyro-shroom2.png/revision/latest?cb=20230226070859</v>
      </c>
    </row>
    <row r="251" spans="1:25" x14ac:dyDescent="0.2">
      <c r="A251" s="64">
        <f ca="1">IFERROR(__xludf.DUMMYFUNCTION("""COMPUTED_VALUE"""),47)</f>
        <v>47</v>
      </c>
      <c r="B251" s="64" t="str">
        <f ca="1">IFERROR(__xludf.DUMMYFUNCTION("""COMPUTED_VALUE"""),"Cryo-shroom")</f>
        <v>Cryo-shroom</v>
      </c>
      <c r="C251" s="64" t="str">
        <f ca="1">IFERROR(__xludf.DUMMYFUNCTION("""COMPUTED_VALUE"""),"Criogumelo")</f>
        <v>Criogumelo</v>
      </c>
      <c r="D251" s="64" t="str">
        <f ca="1">IFERROR(__xludf.DUMMYFUNCTION("""COMPUTED_VALUE"""),"Resfriada")</f>
        <v>Resfriada</v>
      </c>
      <c r="E251" s="64" t="str">
        <f ca="1">IFERROR(__xludf.DUMMYFUNCTION("""COMPUTED_VALUE"""),"Grows with the release of his increasingly powerful magic attack in front of the zombies.")</f>
        <v>Grows with the release of his increasingly powerful magic attack in front of the zombies.</v>
      </c>
      <c r="F251" s="64">
        <f ca="1">IFERROR(__xludf.DUMMYFUNCTION("""COMPUTED_VALUE"""),175)</f>
        <v>175</v>
      </c>
      <c r="G251" s="64">
        <f ca="1">IFERROR(__xludf.DUMMYFUNCTION("""COMPUTED_VALUE"""),300)</f>
        <v>300</v>
      </c>
      <c r="H251" s="64">
        <f ca="1">IFERROR(__xludf.DUMMYFUNCTION("""COMPUTED_VALUE"""),36)</f>
        <v>36</v>
      </c>
      <c r="I251" s="64">
        <f ca="1">IFERROR(__xludf.DUMMYFUNCTION("""COMPUTED_VALUE"""),5)</f>
        <v>5</v>
      </c>
      <c r="J251" s="64" t="str">
        <f ca="1">IFERROR(__xludf.DUMMYFUNCTION("""COMPUTED_VALUE"""),"Immediately grows to the third stage, creating two ice sinkholes that lasts for 7 seconds with area of 3×3, making small-sized terrestrial zombies fall into them.")</f>
        <v>Immediately grows to the third stage, creating two ice sinkholes that lasts for 7 seconds with area of 3×3, making small-sized terrestrial zombies fall into them.</v>
      </c>
      <c r="K251" s="64"/>
      <c r="L251" s="64"/>
      <c r="M251" s="64" t="b">
        <f ca="1">IFERROR(__xludf.DUMMYFUNCTION("""COMPUTED_VALUE"""),FALSE)</f>
        <v>0</v>
      </c>
      <c r="N251" s="64" t="b">
        <f ca="1">IFERROR(__xludf.DUMMYFUNCTION("""COMPUTED_VALUE"""),FALSE)</f>
        <v>0</v>
      </c>
      <c r="O251" s="64">
        <f ca="1">IFERROR(__xludf.DUMMYFUNCTION("""COMPUTED_VALUE"""),0)</f>
        <v>0</v>
      </c>
      <c r="P251" s="64" t="str">
        <f ca="1">IFERROR(__xludf.DUMMYFUNCTION("""COMPUTED_VALUE"""),"Legendary")</f>
        <v>Legendary</v>
      </c>
      <c r="Q251" s="64" t="str">
        <f ca="1">IFERROR(__xludf.DUMMYFUNCTION("""COMPUTED_VALUE"""),"control, slowing, chilling, chain_attack")</f>
        <v>control, slowing, chilling, chain_attack</v>
      </c>
      <c r="R251" s="64" t="str">
        <f ca="1">IFERROR(__xludf.DUMMYFUNCTION("""COMPUTED_VALUE"""),"Murshroom")</f>
        <v>Murshroom</v>
      </c>
      <c r="S251" s="64" t="str">
        <f ca="1">IFERROR(__xludf.DUMMYFUNCTION("""COMPUTED_VALUE"""),"Chinese Sementium")</f>
        <v>Chinese Sementium</v>
      </c>
      <c r="T251" s="64" t="str">
        <f ca="1">IFERROR(__xludf.DUMMYFUNCTION("""COMPUTED_VALUE"""),"None")</f>
        <v>None</v>
      </c>
      <c r="U251" s="64" t="str">
        <f ca="1">IFERROR(__xludf.DUMMYFUNCTION("""COMPUTED_VALUE"""),"None")</f>
        <v>None</v>
      </c>
      <c r="V251" s="64" t="str">
        <f ca="1">IFERROR(__xludf.DUMMYFUNCTION("""COMPUTED_VALUE"""),"---")</f>
        <v>---</v>
      </c>
      <c r="W251" s="64" t="str">
        <f ca="1">IFERROR(__xludf.DUMMYFUNCTION("""COMPUTED_VALUE"""),"Ranged")</f>
        <v>Ranged</v>
      </c>
      <c r="X251" s="64" t="str">
        <f ca="1">IFERROR(__xludf.DUMMYFUNCTION("""COMPUTED_VALUE"""),"PvZ 2 Chinease")</f>
        <v>PvZ 2 Chinease</v>
      </c>
      <c r="Y251" s="65" t="str">
        <f ca="1">IFERROR(__xludf.DUMMYFUNCTION("""COMPUTED_VALUE"""),"https://static.wikia.nocookie.net/plantsvszombies/images/5/51/Cryo-shroom2.png/revision/latest?cb=20230226070920")</f>
        <v>https://static.wikia.nocookie.net/plantsvszombies/images/5/51/Cryo-shroom2.png/revision/latest?cb=20230226070920</v>
      </c>
    </row>
    <row r="252" spans="1:25" x14ac:dyDescent="0.2">
      <c r="A252" s="64">
        <f ca="1">IFERROR(__xludf.DUMMYFUNCTION("""COMPUTED_VALUE"""),48)</f>
        <v>48</v>
      </c>
      <c r="B252" s="64" t="str">
        <f ca="1">IFERROR(__xludf.DUMMYFUNCTION("""COMPUTED_VALUE"""),"Carrotillery")</f>
        <v>Carrotillery</v>
      </c>
      <c r="C252" s="64" t="str">
        <f ca="1">IFERROR(__xludf.DUMMYFUNCTION("""COMPUTED_VALUE"""),"Cenourartilharia")</f>
        <v>Cenourartilharia</v>
      </c>
      <c r="D252" s="64" t="str">
        <f ca="1">IFERROR(__xludf.DUMMYFUNCTION("""COMPUTED_VALUE"""),"Arma")</f>
        <v>Arma</v>
      </c>
      <c r="E252" s="64" t="str">
        <f ca="1">IFERROR(__xludf.DUMMYFUNCTION("""COMPUTED_VALUE"""),"Shoots carrot missiles, dealing huge damage to zombies.")</f>
        <v>Shoots carrot missiles, dealing huge damage to zombies.</v>
      </c>
      <c r="F252" s="64">
        <f ca="1">IFERROR(__xludf.DUMMYFUNCTION("""COMPUTED_VALUE"""),450)</f>
        <v>450</v>
      </c>
      <c r="G252" s="64">
        <f ca="1">IFERROR(__xludf.DUMMYFUNCTION("""COMPUTED_VALUE"""),300)</f>
        <v>300</v>
      </c>
      <c r="H252" s="64">
        <f ca="1">IFERROR(__xludf.DUMMYFUNCTION("""COMPUTED_VALUE"""),200)</f>
        <v>200</v>
      </c>
      <c r="I252" s="64">
        <f ca="1">IFERROR(__xludf.DUMMYFUNCTION("""COMPUTED_VALUE"""),10)</f>
        <v>10</v>
      </c>
      <c r="J252" s="64" t="str">
        <f ca="1">IFERROR(__xludf.DUMMYFUNCTION("""COMPUTED_VALUE"""),"Becomes a cannon and fires a missile with 20000 points of health towards the closest zombies at the right. When the missile is eaten, damages zombies in a 3×3 area. If there are plants on the tile, it will immediately explode.")</f>
        <v>Becomes a cannon and fires a missile with 20000 points of health towards the closest zombies at the right. When the missile is eaten, damages zombies in a 3×3 area. If there are plants on the tile, it will immediately explode.</v>
      </c>
      <c r="K252" s="64"/>
      <c r="L252" s="64" t="str">
        <f ca="1">IFERROR(__xludf.DUMMYFUNCTION("""COMPUTED_VALUE"""),"Spacial - Splash in 1x1 area")</f>
        <v>Spacial - Splash in 1x1 area</v>
      </c>
      <c r="M252" s="64" t="b">
        <f ca="1">IFERROR(__xludf.DUMMYFUNCTION("""COMPUTED_VALUE"""),FALSE)</f>
        <v>0</v>
      </c>
      <c r="N252" s="64" t="b">
        <f ca="1">IFERROR(__xludf.DUMMYFUNCTION("""COMPUTED_VALUE"""),FALSE)</f>
        <v>0</v>
      </c>
      <c r="O252" s="64">
        <f ca="1">IFERROR(__xludf.DUMMYFUNCTION("""COMPUTED_VALUE"""),0)</f>
        <v>0</v>
      </c>
      <c r="P252" s="64" t="str">
        <f ca="1">IFERROR(__xludf.DUMMYFUNCTION("""COMPUTED_VALUE"""),"Rare")</f>
        <v>Rare</v>
      </c>
      <c r="Q252" s="64" t="str">
        <f ca="1">IFERROR(__xludf.DUMMYFUNCTION("""COMPUTED_VALUE"""),"area-effect")</f>
        <v>area-effect</v>
      </c>
      <c r="R252" s="64" t="str">
        <f ca="1">IFERROR(__xludf.DUMMYFUNCTION("""COMPUTED_VALUE"""),"Root")</f>
        <v>Root</v>
      </c>
      <c r="S252" s="64" t="str">
        <f ca="1">IFERROR(__xludf.DUMMYFUNCTION("""COMPUTED_VALUE"""),"Chinese Sementium")</f>
        <v>Chinese Sementium</v>
      </c>
      <c r="T252" s="64" t="str">
        <f ca="1">IFERROR(__xludf.DUMMYFUNCTION("""COMPUTED_VALUE"""),"400")</f>
        <v>400</v>
      </c>
      <c r="U252" s="64" t="str">
        <f ca="1">IFERROR(__xludf.DUMMYFUNCTION("""COMPUTED_VALUE"""),"1800")</f>
        <v>1800</v>
      </c>
      <c r="V252" s="64" t="str">
        <f ca="1">IFERROR(__xludf.DUMMYFUNCTION("""COMPUTED_VALUE"""),"---")</f>
        <v>---</v>
      </c>
      <c r="W252" s="64" t="str">
        <f ca="1">IFERROR(__xludf.DUMMYFUNCTION("""COMPUTED_VALUE"""),"Ranged")</f>
        <v>Ranged</v>
      </c>
      <c r="X252" s="64" t="str">
        <f ca="1">IFERROR(__xludf.DUMMYFUNCTION("""COMPUTED_VALUE"""),"PvZ 2 Chinease, PvZ Heroes")</f>
        <v>PvZ 2 Chinease, PvZ Heroes</v>
      </c>
      <c r="Y252" s="65" t="str">
        <f ca="1">IFERROR(__xludf.DUMMYFUNCTION("""COMPUTED_VALUE"""),"https://static.wikia.nocookie.net/plantsvszombies/images/e/e1/Carrotillery2.png/revision/latest?cb=20190321155305")</f>
        <v>https://static.wikia.nocookie.net/plantsvszombies/images/e/e1/Carrotillery2.png/revision/latest?cb=20190321155305</v>
      </c>
    </row>
    <row r="253" spans="1:25" x14ac:dyDescent="0.2">
      <c r="A253" s="64">
        <f ca="1">IFERROR(__xludf.DUMMYFUNCTION("""COMPUTED_VALUE"""),49)</f>
        <v>49</v>
      </c>
      <c r="B253" s="64" t="str">
        <f ca="1">IFERROR(__xludf.DUMMYFUNCTION("""COMPUTED_VALUE"""),"Strong Broccoli")</f>
        <v>Strong Broccoli</v>
      </c>
      <c r="C253" s="64" t="str">
        <f ca="1">IFERROR(__xludf.DUMMYFUNCTION("""COMPUTED_VALUE"""),"Brócule forte")</f>
        <v>Brócule forte</v>
      </c>
      <c r="D253" s="64" t="str">
        <f ca="1">IFERROR(__xludf.DUMMYFUNCTION("""COMPUTED_VALUE"""),"Surra")</f>
        <v>Surra</v>
      </c>
      <c r="E253" s="64" t="str">
        <f ca="1">IFERROR(__xludf.DUMMYFUNCTION("""COMPUTED_VALUE"""),"Strong Broccoli waves zombies attacking in the front and rear.")</f>
        <v>Strong Broccoli waves zombies attacking in the front and rear.</v>
      </c>
      <c r="F253" s="64">
        <f ca="1">IFERROR(__xludf.DUMMYFUNCTION("""COMPUTED_VALUE"""),150)</f>
        <v>150</v>
      </c>
      <c r="G253" s="64">
        <f ca="1">IFERROR(__xludf.DUMMYFUNCTION("""COMPUTED_VALUE"""),4000)</f>
        <v>4000</v>
      </c>
      <c r="H253" s="64">
        <f ca="1">IFERROR(__xludf.DUMMYFUNCTION("""COMPUTED_VALUE"""),210)</f>
        <v>210</v>
      </c>
      <c r="I253" s="64">
        <f ca="1">IFERROR(__xludf.DUMMYFUNCTION("""COMPUTED_VALUE"""),20)</f>
        <v>20</v>
      </c>
      <c r="J253" s="64" t="str">
        <f ca="1">IFERROR(__xludf.DUMMYFUNCTION("""COMPUTED_VALUE"""),"Pulls a faraway zombie, damage zombies in a 3×3 area, then throws said zombie off the lawn.")</f>
        <v>Pulls a faraway zombie, damage zombies in a 3×3 area, then throws said zombie off the lawn.</v>
      </c>
      <c r="K253" s="64" t="str">
        <f ca="1">IFERROR(__xludf.DUMMYFUNCTION("""COMPUTED_VALUE"""),"Attack range 1 tile ahead")</f>
        <v>Attack range 1 tile ahead</v>
      </c>
      <c r="L253" s="64"/>
      <c r="M253" s="64" t="b">
        <f ca="1">IFERROR(__xludf.DUMMYFUNCTION("""COMPUTED_VALUE"""),FALSE)</f>
        <v>0</v>
      </c>
      <c r="N253" s="64" t="b">
        <f ca="1">IFERROR(__xludf.DUMMYFUNCTION("""COMPUTED_VALUE"""),FALSE)</f>
        <v>0</v>
      </c>
      <c r="O253" s="64">
        <f ca="1">IFERROR(__xludf.DUMMYFUNCTION("""COMPUTED_VALUE"""),0)</f>
        <v>0</v>
      </c>
      <c r="P253" s="64" t="str">
        <f ca="1">IFERROR(__xludf.DUMMYFUNCTION("""COMPUTED_VALUE"""),"Rare")</f>
        <v>Rare</v>
      </c>
      <c r="Q253" s="64" t="str">
        <f ca="1">IFERROR(__xludf.DUMMYFUNCTION("""COMPUTED_VALUE"""),"control")</f>
        <v>control</v>
      </c>
      <c r="R253" s="64" t="str">
        <f ca="1">IFERROR(__xludf.DUMMYFUNCTION("""COMPUTED_VALUE"""),"Vegetable")</f>
        <v>Vegetable</v>
      </c>
      <c r="S253" s="64" t="str">
        <f ca="1">IFERROR(__xludf.DUMMYFUNCTION("""COMPUTED_VALUE"""),"Chinese Sementium")</f>
        <v>Chinese Sementium</v>
      </c>
      <c r="T253" s="64" t="str">
        <f ca="1">IFERROR(__xludf.DUMMYFUNCTION("""COMPUTED_VALUE"""),"None")</f>
        <v>None</v>
      </c>
      <c r="U253" s="64" t="str">
        <f ca="1">IFERROR(__xludf.DUMMYFUNCTION("""COMPUTED_VALUE"""),"None")</f>
        <v>None</v>
      </c>
      <c r="V253" s="64" t="str">
        <f ca="1">IFERROR(__xludf.DUMMYFUNCTION("""COMPUTED_VALUE"""),"---")</f>
        <v>---</v>
      </c>
      <c r="W253" s="64" t="str">
        <f ca="1">IFERROR(__xludf.DUMMYFUNCTION("""COMPUTED_VALUE"""),"Tough")</f>
        <v>Tough</v>
      </c>
      <c r="X253" s="64" t="str">
        <f ca="1">IFERROR(__xludf.DUMMYFUNCTION("""COMPUTED_VALUE"""),"PvZ 2 Chinease")</f>
        <v>PvZ 2 Chinease</v>
      </c>
      <c r="Y253" s="65" t="str">
        <f ca="1">IFERROR(__xludf.DUMMYFUNCTION("""COMPUTED_VALUE"""),"https://static.wikia.nocookie.net/plantsvszombies/images/4/47/Strong_Broccoli2.png/revision/latest?cb=20240605051128")</f>
        <v>https://static.wikia.nocookie.net/plantsvszombies/images/4/47/Strong_Broccoli2.png/revision/latest?cb=20240605051128</v>
      </c>
    </row>
    <row r="254" spans="1:25" x14ac:dyDescent="0.2">
      <c r="A254" s="64">
        <f ca="1">IFERROR(__xludf.DUMMYFUNCTION("""COMPUTED_VALUE"""),50)</f>
        <v>50</v>
      </c>
      <c r="B254" s="64" t="str">
        <f ca="1">IFERROR(__xludf.DUMMYFUNCTION("""COMPUTED_VALUE"""),"Machine Gun Pomegranate")</f>
        <v>Machine Gun Pomegranate</v>
      </c>
      <c r="C254" s="64" t="str">
        <f ca="1">IFERROR(__xludf.DUMMYFUNCTION("""COMPUTED_VALUE"""),"Romãtralhadora")</f>
        <v>Romãtralhadora</v>
      </c>
      <c r="D254" s="64" t="str">
        <f ca="1">IFERROR(__xludf.DUMMYFUNCTION("""COMPUTED_VALUE"""),"Dispara")</f>
        <v>Dispara</v>
      </c>
      <c r="E254" s="64" t="str">
        <f ca="1">IFERROR(__xludf.DUMMYFUNCTION("""COMPUTED_VALUE"""),"Fires the front range of zombies.")</f>
        <v>Fires the front range of zombies.</v>
      </c>
      <c r="F254" s="64">
        <f ca="1">IFERROR(__xludf.DUMMYFUNCTION("""COMPUTED_VALUE"""),325)</f>
        <v>325</v>
      </c>
      <c r="G254" s="64">
        <f ca="1">IFERROR(__xludf.DUMMYFUNCTION("""COMPUTED_VALUE"""),300)</f>
        <v>300</v>
      </c>
      <c r="H254" s="64">
        <f ca="1">IFERROR(__xludf.DUMMYFUNCTION("""COMPUTED_VALUE"""),45)</f>
        <v>45</v>
      </c>
      <c r="I254" s="64">
        <f ca="1">IFERROR(__xludf.DUMMYFUNCTION("""COMPUTED_VALUE"""),5)</f>
        <v>5</v>
      </c>
      <c r="J254" s="64" t="str">
        <f ca="1">IFERROR(__xludf.DUMMYFUNCTION("""COMPUTED_VALUE"""),"Fires projectiles at a sector region (around 3×4) ahead.")</f>
        <v>Fires projectiles at a sector region (around 3×4) ahead.</v>
      </c>
      <c r="K254" s="64" t="str">
        <f ca="1">IFERROR(__xludf.DUMMYFUNCTION("""COMPUTED_VALUE"""),"Attack range 2x3 in right")</f>
        <v>Attack range 2x3 in right</v>
      </c>
      <c r="L254" s="64"/>
      <c r="M254" s="64" t="b">
        <f ca="1">IFERROR(__xludf.DUMMYFUNCTION("""COMPUTED_VALUE"""),FALSE)</f>
        <v>0</v>
      </c>
      <c r="N254" s="64" t="b">
        <f ca="1">IFERROR(__xludf.DUMMYFUNCTION("""COMPUTED_VALUE"""),FALSE)</f>
        <v>0</v>
      </c>
      <c r="O254" s="64">
        <f ca="1">IFERROR(__xludf.DUMMYFUNCTION("""COMPUTED_VALUE"""),0)</f>
        <v>0</v>
      </c>
      <c r="P254" s="64" t="str">
        <f ca="1">IFERROR(__xludf.DUMMYFUNCTION("""COMPUTED_VALUE"""),"Uncommon")</f>
        <v>Uncommon</v>
      </c>
      <c r="Q254" s="64"/>
      <c r="R254" s="64" t="str">
        <f ca="1">IFERROR(__xludf.DUMMYFUNCTION("""COMPUTED_VALUE"""),"Fruit")</f>
        <v>Fruit</v>
      </c>
      <c r="S254" s="64" t="str">
        <f ca="1">IFERROR(__xludf.DUMMYFUNCTION("""COMPUTED_VALUE"""),"Chinese Sementium")</f>
        <v>Chinese Sementium</v>
      </c>
      <c r="T254" s="64" t="str">
        <f ca="1">IFERROR(__xludf.DUMMYFUNCTION("""COMPUTED_VALUE"""),"None")</f>
        <v>None</v>
      </c>
      <c r="U254" s="64" t="str">
        <f ca="1">IFERROR(__xludf.DUMMYFUNCTION("""COMPUTED_VALUE"""),"None")</f>
        <v>None</v>
      </c>
      <c r="V254" s="64" t="str">
        <f ca="1">IFERROR(__xludf.DUMMYFUNCTION("""COMPUTED_VALUE"""),"---")</f>
        <v>---</v>
      </c>
      <c r="W254" s="64" t="str">
        <f ca="1">IFERROR(__xludf.DUMMYFUNCTION("""COMPUTED_VALUE"""),"Vanguard")</f>
        <v>Vanguard</v>
      </c>
      <c r="X254" s="64" t="str">
        <f ca="1">IFERROR(__xludf.DUMMYFUNCTION("""COMPUTED_VALUE"""),"PvZ 2 Chinease")</f>
        <v>PvZ 2 Chinease</v>
      </c>
      <c r="Y254" s="65" t="str">
        <f ca="1">IFERROR(__xludf.DUMMYFUNCTION("""COMPUTED_VALUE"""),"https://static.wikia.nocookie.net/plantsvszombies/images/d/d1/Machine_Gun_Pomegranate2.png/revision/latest?cb=20190714181437")</f>
        <v>https://static.wikia.nocookie.net/plantsvszombies/images/d/d1/Machine_Gun_Pomegranate2.png/revision/latest?cb=20190714181437</v>
      </c>
    </row>
    <row r="255" spans="1:25" x14ac:dyDescent="0.2">
      <c r="A255" s="64">
        <f ca="1">IFERROR(__xludf.DUMMYFUNCTION("""COMPUTED_VALUE"""),51)</f>
        <v>51</v>
      </c>
      <c r="B255" s="64" t="str">
        <f ca="1">IFERROR(__xludf.DUMMYFUNCTION("""COMPUTED_VALUE"""),"Landlord Bamboo")</f>
        <v>Landlord Bamboo</v>
      </c>
      <c r="C255" s="64" t="str">
        <f ca="1">IFERROR(__xludf.DUMMYFUNCTION("""COMPUTED_VALUE"""),"Bambu senhorio")</f>
        <v>Bambu senhorio</v>
      </c>
      <c r="D255" s="64" t="str">
        <f ca="1">IFERROR(__xludf.DUMMYFUNCTION("""COMPUTED_VALUE"""),"Bombarda")</f>
        <v>Bombarda</v>
      </c>
      <c r="E255" s="64" t="str">
        <f ca="1">IFERROR(__xludf.DUMMYFUNCTION("""COMPUTED_VALUE"""),"Explodes, causing damage to the approaching zombies.")</f>
        <v>Explodes, causing damage to the approaching zombies.</v>
      </c>
      <c r="F255" s="64">
        <f ca="1">IFERROR(__xludf.DUMMYFUNCTION("""COMPUTED_VALUE"""),50)</f>
        <v>50</v>
      </c>
      <c r="G255" s="64">
        <f ca="1">IFERROR(__xludf.DUMMYFUNCTION("""COMPUTED_VALUE"""),300)</f>
        <v>300</v>
      </c>
      <c r="H255" s="64">
        <f ca="1">IFERROR(__xludf.DUMMYFUNCTION("""COMPUTED_VALUE"""),1800)</f>
        <v>1800</v>
      </c>
      <c r="I255" s="64">
        <f ca="1">IFERROR(__xludf.DUMMYFUNCTION("""COMPUTED_VALUE"""),5)</f>
        <v>5</v>
      </c>
      <c r="J255" s="64" t="str">
        <f ca="1">IFERROR(__xludf.DUMMYFUNCTION("""COMPUTED_VALUE"""),"Landlord Bamboo places a row of firecrackers to the right, damaging all zombies on the row.")</f>
        <v>Landlord Bamboo places a row of firecrackers to the right, damaging all zombies on the row.</v>
      </c>
      <c r="K255" s="64"/>
      <c r="L255" s="64"/>
      <c r="M255" s="64" t="b">
        <f ca="1">IFERROR(__xludf.DUMMYFUNCTION("""COMPUTED_VALUE"""),TRUE)</f>
        <v>1</v>
      </c>
      <c r="N255" s="64" t="b">
        <f ca="1">IFERROR(__xludf.DUMMYFUNCTION("""COMPUTED_VALUE"""),FALSE)</f>
        <v>0</v>
      </c>
      <c r="O255" s="64">
        <f ca="1">IFERROR(__xludf.DUMMYFUNCTION("""COMPUTED_VALUE"""),0)</f>
        <v>0</v>
      </c>
      <c r="P255" s="64" t="str">
        <f ca="1">IFERROR(__xludf.DUMMYFUNCTION("""COMPUTED_VALUE"""),"Rare")</f>
        <v>Rare</v>
      </c>
      <c r="Q255" s="64" t="str">
        <f ca="1">IFERROR(__xludf.DUMMYFUNCTION("""COMPUTED_VALUE"""),"area-effect, explosion")</f>
        <v>area-effect, explosion</v>
      </c>
      <c r="R255" s="64" t="str">
        <f ca="1">IFERROR(__xludf.DUMMYFUNCTION("""COMPUTED_VALUE"""),"Leaf")</f>
        <v>Leaf</v>
      </c>
      <c r="S255" s="64" t="str">
        <f ca="1">IFERROR(__xludf.DUMMYFUNCTION("""COMPUTED_VALUE"""),"Chinese Sementium")</f>
        <v>Chinese Sementium</v>
      </c>
      <c r="T255" s="64" t="str">
        <f ca="1">IFERROR(__xludf.DUMMYFUNCTION("""COMPUTED_VALUE"""),"None")</f>
        <v>None</v>
      </c>
      <c r="U255" s="64" t="str">
        <f ca="1">IFERROR(__xludf.DUMMYFUNCTION("""COMPUTED_VALUE"""),"None")</f>
        <v>None</v>
      </c>
      <c r="V255" s="64" t="str">
        <f ca="1">IFERROR(__xludf.DUMMYFUNCTION("""COMPUTED_VALUE"""),"---")</f>
        <v>---</v>
      </c>
      <c r="W255" s="64" t="str">
        <f ca="1">IFERROR(__xludf.DUMMYFUNCTION("""COMPUTED_VALUE"""),"Special")</f>
        <v>Special</v>
      </c>
      <c r="X255" s="64" t="str">
        <f ca="1">IFERROR(__xludf.DUMMYFUNCTION("""COMPUTED_VALUE"""),"PvZ 2 Chinease")</f>
        <v>PvZ 2 Chinease</v>
      </c>
      <c r="Y255" s="65" t="str">
        <f ca="1">IFERROR(__xludf.DUMMYFUNCTION("""COMPUTED_VALUE"""),"https://static.wikia.nocookie.net/plantsvszombies/images/3/3f/Landlord_Bamboo2.png/revision/latest?cb=20160818132722")</f>
        <v>https://static.wikia.nocookie.net/plantsvszombies/images/3/3f/Landlord_Bamboo2.png/revision/latest?cb=20160818132722</v>
      </c>
    </row>
    <row r="256" spans="1:25" x14ac:dyDescent="0.2">
      <c r="A256" s="64">
        <f ca="1">IFERROR(__xludf.DUMMYFUNCTION("""COMPUTED_VALUE"""),52)</f>
        <v>52</v>
      </c>
      <c r="B256" s="64" t="str">
        <f ca="1">IFERROR(__xludf.DUMMYFUNCTION("""COMPUTED_VALUE"""),"Chestnut Squad")</f>
        <v>Chestnut Squad</v>
      </c>
      <c r="C256" s="64" t="str">
        <f ca="1">IFERROR(__xludf.DUMMYFUNCTION("""COMPUTED_VALUE"""),"Esquadrão Castanha")</f>
        <v>Esquadrão Castanha</v>
      </c>
      <c r="D256" s="64" t="str">
        <f ca="1">IFERROR(__xludf.DUMMYFUNCTION("""COMPUTED_VALUE"""),"Endurecida")</f>
        <v>Endurecida</v>
      </c>
      <c r="E256" s="64" t="str">
        <f ca="1">IFERROR(__xludf.DUMMYFUNCTION("""COMPUTED_VALUE"""),"Summons chestnuts that attack zombies in a certain area.")</f>
        <v>Summons chestnuts that attack zombies in a certain area.</v>
      </c>
      <c r="F256" s="64">
        <f ca="1">IFERROR(__xludf.DUMMYFUNCTION("""COMPUTED_VALUE"""),175)</f>
        <v>175</v>
      </c>
      <c r="G256" s="64">
        <f ca="1">IFERROR(__xludf.DUMMYFUNCTION("""COMPUTED_VALUE"""),300)</f>
        <v>300</v>
      </c>
      <c r="H256" s="64">
        <f ca="1">IFERROR(__xludf.DUMMYFUNCTION("""COMPUTED_VALUE"""),6)</f>
        <v>6</v>
      </c>
      <c r="I256" s="64">
        <f ca="1">IFERROR(__xludf.DUMMYFUNCTION("""COMPUTED_VALUE"""),25)</f>
        <v>25</v>
      </c>
      <c r="J256" s="64" t="str">
        <f ca="1">IFERROR(__xludf.DUMMYFUNCTION("""COMPUTED_VALUE"""),"Chestnut Squad unleashes small chestnuts, charging at zombies, dealing damage.")</f>
        <v>Chestnut Squad unleashes small chestnuts, charging at zombies, dealing damage.</v>
      </c>
      <c r="K256" s="64"/>
      <c r="L256" s="64" t="str">
        <f ca="1">IFERROR(__xludf.DUMMYFUNCTION("""COMPUTED_VALUE"""),"Special - Summons groups of chestnuts")</f>
        <v>Special - Summons groups of chestnuts</v>
      </c>
      <c r="M256" s="64" t="b">
        <f ca="1">IFERROR(__xludf.DUMMYFUNCTION("""COMPUTED_VALUE"""),FALSE)</f>
        <v>0</v>
      </c>
      <c r="N256" s="64" t="b">
        <f ca="1">IFERROR(__xludf.DUMMYFUNCTION("""COMPUTED_VALUE"""),FALSE)</f>
        <v>0</v>
      </c>
      <c r="O256" s="64">
        <f ca="1">IFERROR(__xludf.DUMMYFUNCTION("""COMPUTED_VALUE"""),0)</f>
        <v>0</v>
      </c>
      <c r="P256" s="64" t="str">
        <f ca="1">IFERROR(__xludf.DUMMYFUNCTION("""COMPUTED_VALUE"""),"Rare")</f>
        <v>Rare</v>
      </c>
      <c r="Q256" s="64" t="str">
        <f ca="1">IFERROR(__xludf.DUMMYFUNCTION("""COMPUTED_VALUE"""),"summon")</f>
        <v>summon</v>
      </c>
      <c r="R256" s="64" t="str">
        <f ca="1">IFERROR(__xludf.DUMMYFUNCTION("""COMPUTED_VALUE"""),"Nut")</f>
        <v>Nut</v>
      </c>
      <c r="S256" s="64" t="str">
        <f ca="1">IFERROR(__xludf.DUMMYFUNCTION("""COMPUTED_VALUE"""),"Chinese Sementium")</f>
        <v>Chinese Sementium</v>
      </c>
      <c r="T256" s="64" t="str">
        <f ca="1">IFERROR(__xludf.DUMMYFUNCTION("""COMPUTED_VALUE"""),"None")</f>
        <v>None</v>
      </c>
      <c r="U256" s="64" t="str">
        <f ca="1">IFERROR(__xludf.DUMMYFUNCTION("""COMPUTED_VALUE"""),"None")</f>
        <v>None</v>
      </c>
      <c r="V256" s="64" t="str">
        <f ca="1">IFERROR(__xludf.DUMMYFUNCTION("""COMPUTED_VALUE"""),"---")</f>
        <v>---</v>
      </c>
      <c r="W256" s="64" t="str">
        <f ca="1">IFERROR(__xludf.DUMMYFUNCTION("""COMPUTED_VALUE"""),"Tough")</f>
        <v>Tough</v>
      </c>
      <c r="X256" s="64" t="str">
        <f ca="1">IFERROR(__xludf.DUMMYFUNCTION("""COMPUTED_VALUE"""),"PvZ 2 Chinease")</f>
        <v>PvZ 2 Chinease</v>
      </c>
      <c r="Y256" s="65" t="str">
        <f ca="1">IFERROR(__xludf.DUMMYFUNCTION("""COMPUTED_VALUE"""),"https://static.wikia.nocookie.net/plantsvszombies/images/f/fa/Chestnut_Squad2.png/revision/latest?cb=20170210131218")</f>
        <v>https://static.wikia.nocookie.net/plantsvszombies/images/f/fa/Chestnut_Squad2.png/revision/latest?cb=20170210131218</v>
      </c>
    </row>
    <row r="257" spans="1:25" x14ac:dyDescent="0.2">
      <c r="A257" s="64">
        <f ca="1">IFERROR(__xludf.DUMMYFUNCTION("""COMPUTED_VALUE"""),53)</f>
        <v>53</v>
      </c>
      <c r="B257" s="64" t="str">
        <f ca="1">IFERROR(__xludf.DUMMYFUNCTION("""COMPUTED_VALUE"""),"Bamboo Bro")</f>
        <v>Bamboo Bro</v>
      </c>
      <c r="C257" s="64" t="str">
        <f ca="1">IFERROR(__xludf.DUMMYFUNCTION("""COMPUTED_VALUE"""),"Bambrother")</f>
        <v>Bambrother</v>
      </c>
      <c r="D257" s="64" t="str">
        <f ca="1">IFERROR(__xludf.DUMMYFUNCTION("""COMPUTED_VALUE"""),"Endurecida")</f>
        <v>Endurecida</v>
      </c>
      <c r="E257" s="64" t="str">
        <f ca="1">IFERROR(__xludf.DUMMYFUNCTION("""COMPUTED_VALUE"""),"Defends and holds zombies back.")</f>
        <v>Defends and holds zombies back.</v>
      </c>
      <c r="F257" s="64">
        <f ca="1">IFERROR(__xludf.DUMMYFUNCTION("""COMPUTED_VALUE"""),75)</f>
        <v>75</v>
      </c>
      <c r="G257" s="64">
        <f ca="1">IFERROR(__xludf.DUMMYFUNCTION("""COMPUTED_VALUE"""),4000)</f>
        <v>4000</v>
      </c>
      <c r="H257" s="64">
        <f ca="1">IFERROR(__xludf.DUMMYFUNCTION("""COMPUTED_VALUE"""),0)</f>
        <v>0</v>
      </c>
      <c r="I257" s="64">
        <f ca="1">IFERROR(__xludf.DUMMYFUNCTION("""COMPUTED_VALUE"""),20)</f>
        <v>20</v>
      </c>
      <c r="J257" s="64" t="str">
        <f ca="1">IFERROR(__xludf.DUMMYFUNCTION("""COMPUTED_VALUE"""),"Knocks back zombies a tile ahead, stunning them for 5 seconds.")</f>
        <v>Knocks back zombies a tile ahead, stunning them for 5 seconds.</v>
      </c>
      <c r="K257" s="64"/>
      <c r="L257" s="64" t="str">
        <f ca="1">IFERROR(__xludf.DUMMYFUNCTION("""COMPUTED_VALUE"""),"Special - If there are fewer zombies, he can longer to adhere to the time.
Special - When he’s not attacked, he will gradually heal itself.")</f>
        <v>Special - If there are fewer zombies, he can longer to adhere to the time.
Special - When he’s not attacked, he will gradually heal itself.</v>
      </c>
      <c r="M257" s="64" t="b">
        <f ca="1">IFERROR(__xludf.DUMMYFUNCTION("""COMPUTED_VALUE"""),FALSE)</f>
        <v>0</v>
      </c>
      <c r="N257" s="64" t="b">
        <f ca="1">IFERROR(__xludf.DUMMYFUNCTION("""COMPUTED_VALUE"""),FALSE)</f>
        <v>0</v>
      </c>
      <c r="O257" s="64">
        <f ca="1">IFERROR(__xludf.DUMMYFUNCTION("""COMPUTED_VALUE"""),0)</f>
        <v>0</v>
      </c>
      <c r="P257" s="64" t="str">
        <f ca="1">IFERROR(__xludf.DUMMYFUNCTION("""COMPUTED_VALUE"""),"Uncommon")</f>
        <v>Uncommon</v>
      </c>
      <c r="Q257" s="64" t="str">
        <f ca="1">IFERROR(__xludf.DUMMYFUNCTION("""COMPUTED_VALUE"""),"heals")</f>
        <v>heals</v>
      </c>
      <c r="R257" s="64" t="str">
        <f ca="1">IFERROR(__xludf.DUMMYFUNCTION("""COMPUTED_VALUE"""),"Leaf")</f>
        <v>Leaf</v>
      </c>
      <c r="S257" s="64" t="str">
        <f ca="1">IFERROR(__xludf.DUMMYFUNCTION("""COMPUTED_VALUE"""),"Chinese Sementium")</f>
        <v>Chinese Sementium</v>
      </c>
      <c r="T257" s="64" t="str">
        <f ca="1">IFERROR(__xludf.DUMMYFUNCTION("""COMPUTED_VALUE"""),"None")</f>
        <v>None</v>
      </c>
      <c r="U257" s="64" t="str">
        <f ca="1">IFERROR(__xludf.DUMMYFUNCTION("""COMPUTED_VALUE"""),"None")</f>
        <v>None</v>
      </c>
      <c r="V257" s="64" t="str">
        <f ca="1">IFERROR(__xludf.DUMMYFUNCTION("""COMPUTED_VALUE"""),"---")</f>
        <v>---</v>
      </c>
      <c r="W257" s="64" t="str">
        <f ca="1">IFERROR(__xludf.DUMMYFUNCTION("""COMPUTED_VALUE"""),"Tough")</f>
        <v>Tough</v>
      </c>
      <c r="X257" s="64" t="str">
        <f ca="1">IFERROR(__xludf.DUMMYFUNCTION("""COMPUTED_VALUE"""),"PvZ 2 Chinease")</f>
        <v>PvZ 2 Chinease</v>
      </c>
      <c r="Y257" s="65" t="str">
        <f ca="1">IFERROR(__xludf.DUMMYFUNCTION("""COMPUTED_VALUE"""),"https://static.wikia.nocookie.net/plantsvszombies/images/c/c8/Bamboo_Bro2.png/revision/latest?cb=20210513062720")</f>
        <v>https://static.wikia.nocookie.net/plantsvszombies/images/c/c8/Bamboo_Bro2.png/revision/latest?cb=20210513062720</v>
      </c>
    </row>
    <row r="258" spans="1:25" x14ac:dyDescent="0.2">
      <c r="A258" s="64">
        <f ca="1">IFERROR(__xludf.DUMMYFUNCTION("""COMPUTED_VALUE"""),54)</f>
        <v>54</v>
      </c>
      <c r="B258" s="64" t="str">
        <f ca="1">IFERROR(__xludf.DUMMYFUNCTION("""COMPUTED_VALUE"""),"Magic-shroom")</f>
        <v>Magic-shroom</v>
      </c>
      <c r="C258" s="64" t="str">
        <f ca="1">IFERROR(__xludf.DUMMYFUNCTION("""COMPUTED_VALUE"""),"Magicogumelo")</f>
        <v>Magicogumelo</v>
      </c>
      <c r="D258" s="64" t="str">
        <f ca="1">IFERROR(__xludf.DUMMYFUNCTION("""COMPUTED_VALUE"""),"Perfura")</f>
        <v>Perfura</v>
      </c>
      <c r="E258" s="64" t="str">
        <f ca="1">IFERROR(__xludf.DUMMYFUNCTION("""COMPUTED_VALUE"""),"Throws playing cards back and forth at zombies.")</f>
        <v>Throws playing cards back and forth at zombies.</v>
      </c>
      <c r="F258" s="64">
        <f ca="1">IFERROR(__xludf.DUMMYFUNCTION("""COMPUTED_VALUE"""),175)</f>
        <v>175</v>
      </c>
      <c r="G258" s="64">
        <f ca="1">IFERROR(__xludf.DUMMYFUNCTION("""COMPUTED_VALUE"""),300)</f>
        <v>300</v>
      </c>
      <c r="H258" s="64">
        <f ca="1">IFERROR(__xludf.DUMMYFUNCTION("""COMPUTED_VALUE"""),50)</f>
        <v>50</v>
      </c>
      <c r="I258" s="64">
        <f ca="1">IFERROR(__xludf.DUMMYFUNCTION("""COMPUTED_VALUE"""),15)</f>
        <v>15</v>
      </c>
      <c r="J258" s="64" t="str">
        <f ca="1">IFERROR(__xludf.DUMMYFUNCTION("""COMPUTED_VALUE"""),"Summon one zombie on each row for a total of 5. Magic-shroom may summon Basic, Conehead, Buckethead Zombies or Gargantuars. Their tiers align with those of the level.")</f>
        <v>Summon one zombie on each row for a total of 5. Magic-shroom may summon Basic, Conehead, Buckethead Zombies or Gargantuars. Their tiers align with those of the level.</v>
      </c>
      <c r="K258" s="64"/>
      <c r="L258" s="64" t="str">
        <f ca="1">IFERROR(__xludf.DUMMYFUNCTION("""COMPUTED_VALUE"""),"Special - It attacks zombies at front and back")</f>
        <v>Special - It attacks zombies at front and back</v>
      </c>
      <c r="M258" s="64" t="b">
        <f ca="1">IFERROR(__xludf.DUMMYFUNCTION("""COMPUTED_VALUE"""),FALSE)</f>
        <v>0</v>
      </c>
      <c r="N258" s="64" t="b">
        <f ca="1">IFERROR(__xludf.DUMMYFUNCTION("""COMPUTED_VALUE"""),FALSE)</f>
        <v>0</v>
      </c>
      <c r="O258" s="64">
        <f ca="1">IFERROR(__xludf.DUMMYFUNCTION("""COMPUTED_VALUE"""),0)</f>
        <v>0</v>
      </c>
      <c r="P258" s="64" t="str">
        <f ca="1">IFERROR(__xludf.DUMMYFUNCTION("""COMPUTED_VALUE"""),"Legendary")</f>
        <v>Legendary</v>
      </c>
      <c r="Q258" s="64" t="str">
        <f ca="1">IFERROR(__xludf.DUMMYFUNCTION("""COMPUTED_VALUE"""),"attack_backwards, summon")</f>
        <v>attack_backwards, summon</v>
      </c>
      <c r="R258" s="64" t="str">
        <f ca="1">IFERROR(__xludf.DUMMYFUNCTION("""COMPUTED_VALUE"""),"Murshroom")</f>
        <v>Murshroom</v>
      </c>
      <c r="S258" s="64" t="str">
        <f ca="1">IFERROR(__xludf.DUMMYFUNCTION("""COMPUTED_VALUE"""),"Chinese Sementium")</f>
        <v>Chinese Sementium</v>
      </c>
      <c r="T258" s="64" t="str">
        <f ca="1">IFERROR(__xludf.DUMMYFUNCTION("""COMPUTED_VALUE"""),"None")</f>
        <v>None</v>
      </c>
      <c r="U258" s="64" t="str">
        <f ca="1">IFERROR(__xludf.DUMMYFUNCTION("""COMPUTED_VALUE"""),"None")</f>
        <v>None</v>
      </c>
      <c r="V258" s="64" t="str">
        <f ca="1">IFERROR(__xludf.DUMMYFUNCTION("""COMPUTED_VALUE"""),"---")</f>
        <v>---</v>
      </c>
      <c r="W258" s="64" t="str">
        <f ca="1">IFERROR(__xludf.DUMMYFUNCTION("""COMPUTED_VALUE"""),"Ranged")</f>
        <v>Ranged</v>
      </c>
      <c r="X258" s="64" t="str">
        <f ca="1">IFERROR(__xludf.DUMMYFUNCTION("""COMPUTED_VALUE"""),"PvZ 2 Chinease")</f>
        <v>PvZ 2 Chinease</v>
      </c>
      <c r="Y258" s="65" t="str">
        <f ca="1">IFERROR(__xludf.DUMMYFUNCTION("""COMPUTED_VALUE"""),"https://static.wikia.nocookie.net/plantsvszombies/images/0/0f/Magic-shroom2.png/revision/latest?cb=20190714144506")</f>
        <v>https://static.wikia.nocookie.net/plantsvszombies/images/0/0f/Magic-shroom2.png/revision/latest?cb=20190714144506</v>
      </c>
    </row>
    <row r="259" spans="1:25" x14ac:dyDescent="0.2">
      <c r="A259" s="64">
        <f ca="1">IFERROR(__xludf.DUMMYFUNCTION("""COMPUTED_VALUE"""),55)</f>
        <v>55</v>
      </c>
      <c r="B259" s="64" t="str">
        <f ca="1">IFERROR(__xludf.DUMMYFUNCTION("""COMPUTED_VALUE"""),"Mischief Radish")</f>
        <v>Mischief Radish</v>
      </c>
      <c r="C259" s="64" t="str">
        <f ca="1">IFERROR(__xludf.DUMMYFUNCTION("""COMPUTED_VALUE"""),"Rabanete travesso")</f>
        <v>Rabanete travesso</v>
      </c>
      <c r="D259" s="64" t="str">
        <f ca="1">IFERROR(__xludf.DUMMYFUNCTION("""COMPUTED_VALUE"""),"Arma")</f>
        <v>Arma</v>
      </c>
      <c r="E259" s="64" t="str">
        <f ca="1">IFERROR(__xludf.DUMMYFUNCTION("""COMPUTED_VALUE"""),"Fires three different type of missiles and each does different damage.")</f>
        <v>Fires three different type of missiles and each does different damage.</v>
      </c>
      <c r="F259" s="64">
        <f ca="1">IFERROR(__xludf.DUMMYFUNCTION("""COMPUTED_VALUE"""),425)</f>
        <v>425</v>
      </c>
      <c r="G259" s="64">
        <f ca="1">IFERROR(__xludf.DUMMYFUNCTION("""COMPUTED_VALUE"""),300)</f>
        <v>300</v>
      </c>
      <c r="H259" s="64">
        <f ca="1">IFERROR(__xludf.DUMMYFUNCTION("""COMPUTED_VALUE"""),500)</f>
        <v>500</v>
      </c>
      <c r="I259" s="64">
        <f ca="1">IFERROR(__xludf.DUMMYFUNCTION("""COMPUTED_VALUE"""),15)</f>
        <v>15</v>
      </c>
      <c r="J259" s="64" t="str">
        <f ca="1">IFERROR(__xludf.DUMMYFUNCTION("""COMPUTED_VALUE"""),"Mischief Radish launches a gigantic missile, damaging zombies ahead. Said missile will travel to the end of the row.")</f>
        <v>Mischief Radish launches a gigantic missile, damaging zombies ahead. Said missile will travel to the end of the row.</v>
      </c>
      <c r="K259" s="64"/>
      <c r="L259" s="64"/>
      <c r="M259" s="64" t="b">
        <f ca="1">IFERROR(__xludf.DUMMYFUNCTION("""COMPUTED_VALUE"""),FALSE)</f>
        <v>0</v>
      </c>
      <c r="N259" s="64" t="b">
        <f ca="1">IFERROR(__xludf.DUMMYFUNCTION("""COMPUTED_VALUE"""),FALSE)</f>
        <v>0</v>
      </c>
      <c r="O259" s="64">
        <f ca="1">IFERROR(__xludf.DUMMYFUNCTION("""COMPUTED_VALUE"""),0)</f>
        <v>0</v>
      </c>
      <c r="P259" s="64" t="str">
        <f ca="1">IFERROR(__xludf.DUMMYFUNCTION("""COMPUTED_VALUE"""),"Rare")</f>
        <v>Rare</v>
      </c>
      <c r="Q259" s="64" t="str">
        <f ca="1">IFERROR(__xludf.DUMMYFUNCTION("""COMPUTED_VALUE"""),"area-effect")</f>
        <v>area-effect</v>
      </c>
      <c r="R259" s="64" t="str">
        <f ca="1">IFERROR(__xludf.DUMMYFUNCTION("""COMPUTED_VALUE"""),"Root")</f>
        <v>Root</v>
      </c>
      <c r="S259" s="64" t="str">
        <f ca="1">IFERROR(__xludf.DUMMYFUNCTION("""COMPUTED_VALUE"""),"Chinese Sementium")</f>
        <v>Chinese Sementium</v>
      </c>
      <c r="T259" s="64" t="str">
        <f ca="1">IFERROR(__xludf.DUMMYFUNCTION("""COMPUTED_VALUE"""),"None")</f>
        <v>None</v>
      </c>
      <c r="U259" s="64" t="str">
        <f ca="1">IFERROR(__xludf.DUMMYFUNCTION("""COMPUTED_VALUE"""),"100")</f>
        <v>100</v>
      </c>
      <c r="V259" s="64" t="str">
        <f ca="1">IFERROR(__xludf.DUMMYFUNCTION("""COMPUTED_VALUE"""),"greenturnip")</f>
        <v>greenturnip</v>
      </c>
      <c r="W259" s="64" t="str">
        <f ca="1">IFERROR(__xludf.DUMMYFUNCTION("""COMPUTED_VALUE"""),"Ranged")</f>
        <v>Ranged</v>
      </c>
      <c r="X259" s="64" t="str">
        <f ca="1">IFERROR(__xludf.DUMMYFUNCTION("""COMPUTED_VALUE"""),"PvZ 2 Chinease")</f>
        <v>PvZ 2 Chinease</v>
      </c>
      <c r="Y259" s="65" t="str">
        <f ca="1">IFERROR(__xludf.DUMMYFUNCTION("""COMPUTED_VALUE"""),"https://static.wikia.nocookie.net/plantsvszombies/images/e/e5/Mischief_Radish2.png/revision/latest?cb=20230111005136")</f>
        <v>https://static.wikia.nocookie.net/plantsvszombies/images/e/e5/Mischief_Radish2.png/revision/latest?cb=20230111005136</v>
      </c>
    </row>
    <row r="260" spans="1:25" x14ac:dyDescent="0.2">
      <c r="A260" s="64">
        <f ca="1">IFERROR(__xludf.DUMMYFUNCTION("""COMPUTED_VALUE"""),56)</f>
        <v>56</v>
      </c>
      <c r="B260" s="64" t="str">
        <f ca="1">IFERROR(__xludf.DUMMYFUNCTION("""COMPUTED_VALUE"""),"Pumpkin Witch")</f>
        <v>Pumpkin Witch</v>
      </c>
      <c r="C260" s="64" t="str">
        <f ca="1">IFERROR(__xludf.DUMMYFUNCTION("""COMPUTED_VALUE"""),"Abóbruxa")</f>
        <v>Abóbruxa</v>
      </c>
      <c r="D260" s="64" t="str">
        <f ca="1">IFERROR(__xludf.DUMMYFUNCTION("""COMPUTED_VALUE"""),"Encanta")</f>
        <v>Encanta</v>
      </c>
      <c r="E260" s="64" t="str">
        <f ca="1">IFERROR(__xludf.DUMMYFUNCTION("""COMPUTED_VALUE"""),"Throws pumpkins, that controls a normal zombie, when the pumpkin exists to fight for you.")</f>
        <v>Throws pumpkins, that controls a normal zombie, when the pumpkin exists to fight for you.</v>
      </c>
      <c r="F260" s="64">
        <f ca="1">IFERROR(__xludf.DUMMYFUNCTION("""COMPUTED_VALUE"""),250)</f>
        <v>250</v>
      </c>
      <c r="G260" s="64">
        <f ca="1">IFERROR(__xludf.DUMMYFUNCTION("""COMPUTED_VALUE"""),300)</f>
        <v>300</v>
      </c>
      <c r="H260" s="64">
        <f ca="1">IFERROR(__xludf.DUMMYFUNCTION("""COMPUTED_VALUE"""),0)</f>
        <v>0</v>
      </c>
      <c r="I260" s="64">
        <f ca="1">IFERROR(__xludf.DUMMYFUNCTION("""COMPUTED_VALUE"""),7.5)</f>
        <v>7.5</v>
      </c>
      <c r="J260" s="64" t="str">
        <f ca="1">IFERROR(__xludf.DUMMYFUNCTION("""COMPUTED_VALUE"""),"Lobs at most 5 pumpkins that are 130% stronger than normal pumpkins to control 5 leftmost controllable zombies. Pumpkin Witch then rests for 14 seconds. Golems to not respawn when defeated.")</f>
        <v>Lobs at most 5 pumpkins that are 130% stronger than normal pumpkins to control 5 leftmost controllable zombies. Pumpkin Witch then rests for 14 seconds. Golems to not respawn when defeated.</v>
      </c>
      <c r="K260" s="64"/>
      <c r="L260" s="64"/>
      <c r="M260" s="64" t="b">
        <f ca="1">IFERROR(__xludf.DUMMYFUNCTION("""COMPUTED_VALUE"""),FALSE)</f>
        <v>0</v>
      </c>
      <c r="N260" s="64" t="b">
        <f ca="1">IFERROR(__xludf.DUMMYFUNCTION("""COMPUTED_VALUE"""),FALSE)</f>
        <v>0</v>
      </c>
      <c r="O260" s="64">
        <f ca="1">IFERROR(__xludf.DUMMYFUNCTION("""COMPUTED_VALUE"""),0)</f>
        <v>0</v>
      </c>
      <c r="P260" s="64" t="str">
        <f ca="1">IFERROR(__xludf.DUMMYFUNCTION("""COMPUTED_VALUE"""),"Rare")</f>
        <v>Rare</v>
      </c>
      <c r="Q260" s="64" t="str">
        <f ca="1">IFERROR(__xludf.DUMMYFUNCTION("""COMPUTED_VALUE"""),"control")</f>
        <v>control</v>
      </c>
      <c r="R260" s="64" t="str">
        <f ca="1">IFERROR(__xludf.DUMMYFUNCTION("""COMPUTED_VALUE"""),"Vegetable")</f>
        <v>Vegetable</v>
      </c>
      <c r="S260" s="64" t="str">
        <f ca="1">IFERROR(__xludf.DUMMYFUNCTION("""COMPUTED_VALUE"""),"Chinese Sementium")</f>
        <v>Chinese Sementium</v>
      </c>
      <c r="T260" s="64" t="str">
        <f ca="1">IFERROR(__xludf.DUMMYFUNCTION("""COMPUTED_VALUE"""),"None")</f>
        <v>None</v>
      </c>
      <c r="U260" s="64" t="str">
        <f ca="1">IFERROR(__xludf.DUMMYFUNCTION("""COMPUTED_VALUE"""),"None")</f>
        <v>None</v>
      </c>
      <c r="V260" s="64" t="str">
        <f ca="1">IFERROR(__xludf.DUMMYFUNCTION("""COMPUTED_VALUE"""),"---")</f>
        <v>---</v>
      </c>
      <c r="W260" s="64" t="str">
        <f ca="1">IFERROR(__xludf.DUMMYFUNCTION("""COMPUTED_VALUE"""),"Ranged")</f>
        <v>Ranged</v>
      </c>
      <c r="X260" s="64" t="str">
        <f ca="1">IFERROR(__xludf.DUMMYFUNCTION("""COMPUTED_VALUE"""),"PvZ 2 Chinease")</f>
        <v>PvZ 2 Chinease</v>
      </c>
      <c r="Y260" s="65" t="str">
        <f ca="1">IFERROR(__xludf.DUMMYFUNCTION("""COMPUTED_VALUE"""),"https://static.wikia.nocookie.net/plantsvszombies/images/b/b0/Pumpkin_Witch2.png/revision/latest?cb=20220307174545")</f>
        <v>https://static.wikia.nocookie.net/plantsvszombies/images/b/b0/Pumpkin_Witch2.png/revision/latest?cb=20220307174545</v>
      </c>
    </row>
    <row r="261" spans="1:25" x14ac:dyDescent="0.2">
      <c r="A261" s="64">
        <f ca="1">IFERROR(__xludf.DUMMYFUNCTION("""COMPUTED_VALUE"""),57)</f>
        <v>57</v>
      </c>
      <c r="B261" s="64" t="str">
        <f ca="1">IFERROR(__xludf.DUMMYFUNCTION("""COMPUTED_VALUE"""),"Sunflower Singer")</f>
        <v>Sunflower Singer</v>
      </c>
      <c r="C261" s="64" t="str">
        <f ca="1">IFERROR(__xludf.DUMMYFUNCTION("""COMPUTED_VALUE"""),"Girrassol Cantora")</f>
        <v>Girrassol Cantora</v>
      </c>
      <c r="D261" s="64" t="str">
        <f ca="1">IFERROR(__xludf.DUMMYFUNCTION("""COMPUTED_VALUE"""),"Encanta")</f>
        <v>Encanta</v>
      </c>
      <c r="E261" s="64" t="str">
        <f ca="1">IFERROR(__xludf.DUMMYFUNCTION("""COMPUTED_VALUE"""),"Sings sun and encourages plants increasing their attack power and shortens the cooldown period.")</f>
        <v>Sings sun and encourages plants increasing their attack power and shortens the cooldown period.</v>
      </c>
      <c r="F261" s="64">
        <f ca="1">IFERROR(__xludf.DUMMYFUNCTION("""COMPUTED_VALUE"""),125)</f>
        <v>125</v>
      </c>
      <c r="G261" s="64">
        <f ca="1">IFERROR(__xludf.DUMMYFUNCTION("""COMPUTED_VALUE"""),300)</f>
        <v>300</v>
      </c>
      <c r="H261" s="64">
        <f ca="1">IFERROR(__xludf.DUMMYFUNCTION("""COMPUTED_VALUE"""),0)</f>
        <v>0</v>
      </c>
      <c r="I261" s="64">
        <f ca="1">IFERROR(__xludf.DUMMYFUNCTION("""COMPUTED_VALUE"""),10)</f>
        <v>10</v>
      </c>
      <c r="J261" s="64" t="str">
        <f ca="1">IFERROR(__xludf.DUMMYFUNCTION("""COMPUTED_VALUE"""),"Sunflower Singer begins his performance. When the lighting appears, produces 280 sun and all plants and zombies are paused for 5 seconds.")</f>
        <v>Sunflower Singer begins his performance. When the lighting appears, produces 280 sun and all plants and zombies are paused for 5 seconds.</v>
      </c>
      <c r="K261" s="64" t="str">
        <f ca="1">IFERROR(__xludf.DUMMYFUNCTION("""COMPUTED_VALUE"""),"boost adjacent allies")</f>
        <v>boost adjacent allies</v>
      </c>
      <c r="L261" s="64"/>
      <c r="M261" s="64" t="b">
        <f ca="1">IFERROR(__xludf.DUMMYFUNCTION("""COMPUTED_VALUE"""),FALSE)</f>
        <v>0</v>
      </c>
      <c r="N261" s="64" t="b">
        <f ca="1">IFERROR(__xludf.DUMMYFUNCTION("""COMPUTED_VALUE"""),FALSE)</f>
        <v>0</v>
      </c>
      <c r="O261" s="64">
        <f ca="1">IFERROR(__xludf.DUMMYFUNCTION("""COMPUTED_VALUE"""),100)</f>
        <v>100</v>
      </c>
      <c r="P261" s="64" t="str">
        <f ca="1">IFERROR(__xludf.DUMMYFUNCTION("""COMPUTED_VALUE"""),"Epic")</f>
        <v>Epic</v>
      </c>
      <c r="Q261" s="64" t="str">
        <f ca="1">IFERROR(__xludf.DUMMYFUNCTION("""COMPUTED_VALUE"""),"orchestra, boost, area-effect")</f>
        <v>orchestra, boost, area-effect</v>
      </c>
      <c r="R261" s="64" t="str">
        <f ca="1">IFERROR(__xludf.DUMMYFUNCTION("""COMPUTED_VALUE"""),"Flower")</f>
        <v>Flower</v>
      </c>
      <c r="S261" s="64" t="str">
        <f ca="1">IFERROR(__xludf.DUMMYFUNCTION("""COMPUTED_VALUE"""),"Chinese Sementium")</f>
        <v>Chinese Sementium</v>
      </c>
      <c r="T261" s="64" t="str">
        <f ca="1">IFERROR(__xludf.DUMMYFUNCTION("""COMPUTED_VALUE"""),"None")</f>
        <v>None</v>
      </c>
      <c r="U261" s="64" t="str">
        <f ca="1">IFERROR(__xludf.DUMMYFUNCTION("""COMPUTED_VALUE"""),"None")</f>
        <v>None</v>
      </c>
      <c r="V261" s="64" t="str">
        <f ca="1">IFERROR(__xludf.DUMMYFUNCTION("""COMPUTED_VALUE"""),"---")</f>
        <v>---</v>
      </c>
      <c r="W261" s="64" t="str">
        <f ca="1">IFERROR(__xludf.DUMMYFUNCTION("""COMPUTED_VALUE"""),"Sun")</f>
        <v>Sun</v>
      </c>
      <c r="X261" s="64" t="str">
        <f ca="1">IFERROR(__xludf.DUMMYFUNCTION("""COMPUTED_VALUE"""),"PvZ 2 Chinease")</f>
        <v>PvZ 2 Chinease</v>
      </c>
      <c r="Y261" s="65" t="str">
        <f ca="1">IFERROR(__xludf.DUMMYFUNCTION("""COMPUTED_VALUE"""),"https://static.wikia.nocookie.net/plantsvszombies/images/6/6c/Sunflower_Singer2.png/revision/latest?cb=20221208003802")</f>
        <v>https://static.wikia.nocookie.net/plantsvszombies/images/6/6c/Sunflower_Singer2.png/revision/latest?cb=20221208003802</v>
      </c>
    </row>
    <row r="262" spans="1:25" x14ac:dyDescent="0.2">
      <c r="A262" s="64">
        <f ca="1">IFERROR(__xludf.DUMMYFUNCTION("""COMPUTED_VALUE"""),58)</f>
        <v>58</v>
      </c>
      <c r="B262" s="64" t="str">
        <f ca="1">IFERROR(__xludf.DUMMYFUNCTION("""COMPUTED_VALUE"""),"Snow Cotton")</f>
        <v>Snow Cotton</v>
      </c>
      <c r="C262" s="64" t="str">
        <f ca="1">IFERROR(__xludf.DUMMYFUNCTION("""COMPUTED_VALUE"""),"Algodão nevado")</f>
        <v>Algodão nevado</v>
      </c>
      <c r="D262" s="64" t="str">
        <f ca="1">IFERROR(__xludf.DUMMYFUNCTION("""COMPUTED_VALUE"""),"Resfriada")</f>
        <v>Resfriada</v>
      </c>
      <c r="E262" s="64" t="str">
        <f ca="1">IFERROR(__xludf.DUMMYFUNCTION("""COMPUTED_VALUE"""),"Treads on the attacking zombies ahead.")</f>
        <v>Treads on the attacking zombies ahead.</v>
      </c>
      <c r="F262" s="64">
        <f ca="1">IFERROR(__xludf.DUMMYFUNCTION("""COMPUTED_VALUE"""),175)</f>
        <v>175</v>
      </c>
      <c r="G262" s="64">
        <f ca="1">IFERROR(__xludf.DUMMYFUNCTION("""COMPUTED_VALUE"""),300)</f>
        <v>300</v>
      </c>
      <c r="H262" s="64">
        <f ca="1">IFERROR(__xludf.DUMMYFUNCTION("""COMPUTED_VALUE"""),240)</f>
        <v>240</v>
      </c>
      <c r="I262" s="64">
        <f ca="1">IFERROR(__xludf.DUMMYFUNCTION("""COMPUTED_VALUE"""),5)</f>
        <v>5</v>
      </c>
      <c r="J262" s="64" t="str">
        <f ca="1">IFERROR(__xludf.DUMMYFUNCTION("""COMPUTED_VALUE"""),"Throws its nose to summon a giant snowman that deals damage in a 3×3 radius centered on the leftmost zombie in front of it and freezes for 3 seconds.")</f>
        <v>Throws its nose to summon a giant snowman that deals damage in a 3×3 radius centered on the leftmost zombie in front of it and freezes for 3 seconds.</v>
      </c>
      <c r="K262" s="64"/>
      <c r="L262" s="64"/>
      <c r="M262" s="64" t="b">
        <f ca="1">IFERROR(__xludf.DUMMYFUNCTION("""COMPUTED_VALUE"""),FALSE)</f>
        <v>0</v>
      </c>
      <c r="N262" s="64" t="b">
        <f ca="1">IFERROR(__xludf.DUMMYFUNCTION("""COMPUTED_VALUE"""),FALSE)</f>
        <v>0</v>
      </c>
      <c r="O262" s="64">
        <f ca="1">IFERROR(__xludf.DUMMYFUNCTION("""COMPUTED_VALUE"""),0)</f>
        <v>0</v>
      </c>
      <c r="P262" s="64" t="str">
        <f ca="1">IFERROR(__xludf.DUMMYFUNCTION("""COMPUTED_VALUE"""),"Rare")</f>
        <v>Rare</v>
      </c>
      <c r="Q262" s="64" t="str">
        <f ca="1">IFERROR(__xludf.DUMMYFUNCTION("""COMPUTED_VALUE"""),"slowing, chilling, freezing, area-effect")</f>
        <v>slowing, chilling, freezing, area-effect</v>
      </c>
      <c r="R262" s="64" t="str">
        <f ca="1">IFERROR(__xludf.DUMMYFUNCTION("""COMPUTED_VALUE"""),"Leaf")</f>
        <v>Leaf</v>
      </c>
      <c r="S262" s="64" t="str">
        <f ca="1">IFERROR(__xludf.DUMMYFUNCTION("""COMPUTED_VALUE"""),"Chinese Sementium")</f>
        <v>Chinese Sementium</v>
      </c>
      <c r="T262" s="64" t="str">
        <f ca="1">IFERROR(__xludf.DUMMYFUNCTION("""COMPUTED_VALUE"""),"None")</f>
        <v>None</v>
      </c>
      <c r="U262" s="64" t="str">
        <f ca="1">IFERROR(__xludf.DUMMYFUNCTION("""COMPUTED_VALUE"""),"None")</f>
        <v>None</v>
      </c>
      <c r="V262" s="64" t="str">
        <f ca="1">IFERROR(__xludf.DUMMYFUNCTION("""COMPUTED_VALUE"""),"---")</f>
        <v>---</v>
      </c>
      <c r="W262" s="64" t="str">
        <f ca="1">IFERROR(__xludf.DUMMYFUNCTION("""COMPUTED_VALUE"""),"Ranged")</f>
        <v>Ranged</v>
      </c>
      <c r="X262" s="64" t="str">
        <f ca="1">IFERROR(__xludf.DUMMYFUNCTION("""COMPUTED_VALUE"""),"PvZ 2 Chinease")</f>
        <v>PvZ 2 Chinease</v>
      </c>
      <c r="Y262" s="65" t="str">
        <f ca="1">IFERROR(__xludf.DUMMYFUNCTION("""COMPUTED_VALUE"""),"https://static.wikia.nocookie.net/plantsvszombies/images/5/57/Snow_Cotton2.png/revision/latest?cb=20210905073138")</f>
        <v>https://static.wikia.nocookie.net/plantsvszombies/images/5/57/Snow_Cotton2.png/revision/latest?cb=20210905073138</v>
      </c>
    </row>
    <row r="263" spans="1:25" x14ac:dyDescent="0.2">
      <c r="A263" s="64">
        <f ca="1">IFERROR(__xludf.DUMMYFUNCTION("""COMPUTED_VALUE"""),59)</f>
        <v>59</v>
      </c>
      <c r="B263" s="64" t="str">
        <f ca="1">IFERROR(__xludf.DUMMYFUNCTION("""COMPUTED_VALUE"""),"Agave")</f>
        <v>Agave</v>
      </c>
      <c r="C263" s="64" t="str">
        <f ca="1">IFERROR(__xludf.DUMMYFUNCTION("""COMPUTED_VALUE"""),"Agave")</f>
        <v>Agave</v>
      </c>
      <c r="D263" s="64" t="str">
        <f ca="1">IFERROR(__xludf.DUMMYFUNCTION("""COMPUTED_VALUE"""),"Surra")</f>
        <v>Surra</v>
      </c>
      <c r="E263" s="64" t="str">
        <f ca="1">IFERROR(__xludf.DUMMYFUNCTION("""COMPUTED_VALUE"""),"Attacks zombies within two tiles in front of it, and causes additional damage to armored zombies.")</f>
        <v>Attacks zombies within two tiles in front of it, and causes additional damage to armored zombies.</v>
      </c>
      <c r="F263" s="64">
        <f ca="1">IFERROR(__xludf.DUMMYFUNCTION("""COMPUTED_VALUE"""),325)</f>
        <v>325</v>
      </c>
      <c r="G263" s="64">
        <f ca="1">IFERROR(__xludf.DUMMYFUNCTION("""COMPUTED_VALUE"""),300)</f>
        <v>300</v>
      </c>
      <c r="H263" s="64">
        <f ca="1">IFERROR(__xludf.DUMMYFUNCTION("""COMPUTED_VALUE"""),200)</f>
        <v>200</v>
      </c>
      <c r="I263" s="64">
        <f ca="1">IFERROR(__xludf.DUMMYFUNCTION("""COMPUTED_VALUE"""),7.5)</f>
        <v>7.5</v>
      </c>
      <c r="J263" s="64" t="str">
        <f ca="1">IFERROR(__xludf.DUMMYFUNCTION("""COMPUTED_VALUE"""),"Agave swings the sword forcefully, creating an aura that pierces the entire row, dealing damage to all the zombies on the row.")</f>
        <v>Agave swings the sword forcefully, creating an aura that pierces the entire row, dealing damage to all the zombies on the row.</v>
      </c>
      <c r="K263" s="64" t="str">
        <f ca="1">IFERROR(__xludf.DUMMYFUNCTION("""COMPUTED_VALUE"""),"Attack range 2 tiles to the right")</f>
        <v>Attack range 2 tiles to the right</v>
      </c>
      <c r="L263" s="64" t="str">
        <f ca="1">IFERROR(__xludf.DUMMYFUNCTION("""COMPUTED_VALUE"""),"Special - Deals more damage to zombies with headgear.")</f>
        <v>Special - Deals more damage to zombies with headgear.</v>
      </c>
      <c r="M263" s="64" t="b">
        <f ca="1">IFERROR(__xludf.DUMMYFUNCTION("""COMPUTED_VALUE"""),FALSE)</f>
        <v>0</v>
      </c>
      <c r="N263" s="64" t="b">
        <f ca="1">IFERROR(__xludf.DUMMYFUNCTION("""COMPUTED_VALUE"""),FALSE)</f>
        <v>0</v>
      </c>
      <c r="O263" s="64">
        <f ca="1">IFERROR(__xludf.DUMMYFUNCTION("""COMPUTED_VALUE"""),0)</f>
        <v>0</v>
      </c>
      <c r="P263" s="64" t="str">
        <f ca="1">IFERROR(__xludf.DUMMYFUNCTION("""COMPUTED_VALUE"""),"Rare")</f>
        <v>Rare</v>
      </c>
      <c r="Q263" s="64" t="str">
        <f ca="1">IFERROR(__xludf.DUMMYFUNCTION("""COMPUTED_VALUE"""),"area-effect")</f>
        <v>area-effect</v>
      </c>
      <c r="R263" s="64" t="str">
        <f ca="1">IFERROR(__xludf.DUMMYFUNCTION("""COMPUTED_VALUE"""),"Leaf")</f>
        <v>Leaf</v>
      </c>
      <c r="S263" s="64" t="str">
        <f ca="1">IFERROR(__xludf.DUMMYFUNCTION("""COMPUTED_VALUE"""),"Chinese Sementium")</f>
        <v>Chinese Sementium</v>
      </c>
      <c r="T263" s="64" t="str">
        <f ca="1">IFERROR(__xludf.DUMMYFUNCTION("""COMPUTED_VALUE"""),"None")</f>
        <v>None</v>
      </c>
      <c r="U263" s="64" t="str">
        <f ca="1">IFERROR(__xludf.DUMMYFUNCTION("""COMPUTED_VALUE"""),"None")</f>
        <v>None</v>
      </c>
      <c r="V263" s="64" t="str">
        <f ca="1">IFERROR(__xludf.DUMMYFUNCTION("""COMPUTED_VALUE"""),"---")</f>
        <v>---</v>
      </c>
      <c r="W263" s="64" t="str">
        <f ca="1">IFERROR(__xludf.DUMMYFUNCTION("""COMPUTED_VALUE"""),"Vanguard")</f>
        <v>Vanguard</v>
      </c>
      <c r="X263" s="64" t="str">
        <f ca="1">IFERROR(__xludf.DUMMYFUNCTION("""COMPUTED_VALUE"""),"PvZ 2 Chinease")</f>
        <v>PvZ 2 Chinease</v>
      </c>
      <c r="Y263" s="65" t="str">
        <f ca="1">IFERROR(__xludf.DUMMYFUNCTION("""COMPUTED_VALUE"""),"https://static.wikia.nocookie.net/plantsvszombies/images/e/e6/Agave2.png/revision/latest?cb=20211112011234")</f>
        <v>https://static.wikia.nocookie.net/plantsvszombies/images/e/e6/Agave2.png/revision/latest?cb=20211112011234</v>
      </c>
    </row>
    <row r="264" spans="1:25" x14ac:dyDescent="0.2">
      <c r="A264" s="64">
        <f ca="1">IFERROR(__xludf.DUMMYFUNCTION("""COMPUTED_VALUE"""),60)</f>
        <v>60</v>
      </c>
      <c r="B264" s="64" t="str">
        <f ca="1">IFERROR(__xludf.DUMMYFUNCTION("""COMPUTED_VALUE"""),"Kiwifruit")</f>
        <v>Kiwifruit</v>
      </c>
      <c r="C264" s="64" t="str">
        <f ca="1">IFERROR(__xludf.DUMMYFUNCTION("""COMPUTED_VALUE"""),"Kiwifruto")</f>
        <v>Kiwifruto</v>
      </c>
      <c r="D264" s="64" t="str">
        <f ca="1">IFERROR(__xludf.DUMMYFUNCTION("""COMPUTED_VALUE"""),"Perfura")</f>
        <v>Perfura</v>
      </c>
      <c r="E264" s="64" t="str">
        <f ca="1">IFERROR(__xludf.DUMMYFUNCTION("""COMPUTED_VALUE"""),"Pulls out the Monkey King Bar and attacks the nearest zombie, causing damage to all zombies within the range.")</f>
        <v>Pulls out the Monkey King Bar and attacks the nearest zombie, causing damage to all zombies within the range.</v>
      </c>
      <c r="F264" s="64">
        <f ca="1">IFERROR(__xludf.DUMMYFUNCTION("""COMPUTED_VALUE"""),200)</f>
        <v>200</v>
      </c>
      <c r="G264" s="64">
        <f ca="1">IFERROR(__xludf.DUMMYFUNCTION("""COMPUTED_VALUE"""),300)</f>
        <v>300</v>
      </c>
      <c r="H264" s="64">
        <f ca="1">IFERROR(__xludf.DUMMYFUNCTION("""COMPUTED_VALUE"""),60)</f>
        <v>60</v>
      </c>
      <c r="I264" s="64">
        <f ca="1">IFERROR(__xludf.DUMMYFUNCTION("""COMPUTED_VALUE"""),5)</f>
        <v>5</v>
      </c>
      <c r="J264" s="64" t="str">
        <f ca="1">IFERROR(__xludf.DUMMYFUNCTION("""COMPUTED_VALUE"""),"Jingu Bang enlarges, hammers the 4 tiles to the right, dealing damage to zombies there and trap them in the ground for 6 seconds.")</f>
        <v>Jingu Bang enlarges, hammers the 4 tiles to the right, dealing damage to zombies there and trap them in the ground for 6 seconds.</v>
      </c>
      <c r="K264" s="64"/>
      <c r="L264" s="64" t="str">
        <f ca="1">IFERROR(__xludf.DUMMYFUNCTION("""COMPUTED_VALUE"""),"Special - Causes damage to all zombies in an area.")</f>
        <v>Special - Causes damage to all zombies in an area.</v>
      </c>
      <c r="M264" s="64" t="b">
        <f ca="1">IFERROR(__xludf.DUMMYFUNCTION("""COMPUTED_VALUE"""),FALSE)</f>
        <v>0</v>
      </c>
      <c r="N264" s="64" t="b">
        <f ca="1">IFERROR(__xludf.DUMMYFUNCTION("""COMPUTED_VALUE"""),FALSE)</f>
        <v>0</v>
      </c>
      <c r="O264" s="64">
        <f ca="1">IFERROR(__xludf.DUMMYFUNCTION("""COMPUTED_VALUE"""),0)</f>
        <v>0</v>
      </c>
      <c r="P264" s="64" t="str">
        <f ca="1">IFERROR(__xludf.DUMMYFUNCTION("""COMPUTED_VALUE"""),"Epic")</f>
        <v>Epic</v>
      </c>
      <c r="Q264" s="64" t="str">
        <f ca="1">IFERROR(__xludf.DUMMYFUNCTION("""COMPUTED_VALUE"""),"slowing, area-effect")</f>
        <v>slowing, area-effect</v>
      </c>
      <c r="R264" s="64" t="str">
        <f ca="1">IFERROR(__xludf.DUMMYFUNCTION("""COMPUTED_VALUE"""),"Fruit")</f>
        <v>Fruit</v>
      </c>
      <c r="S264" s="64" t="str">
        <f ca="1">IFERROR(__xludf.DUMMYFUNCTION("""COMPUTED_VALUE"""),"Chinese Sementium")</f>
        <v>Chinese Sementium</v>
      </c>
      <c r="T264" s="64" t="str">
        <f ca="1">IFERROR(__xludf.DUMMYFUNCTION("""COMPUTED_VALUE"""),"None")</f>
        <v>None</v>
      </c>
      <c r="U264" s="64" t="str">
        <f ca="1">IFERROR(__xludf.DUMMYFUNCTION("""COMPUTED_VALUE"""),"None")</f>
        <v>None</v>
      </c>
      <c r="V264" s="64" t="str">
        <f ca="1">IFERROR(__xludf.DUMMYFUNCTION("""COMPUTED_VALUE"""),"---")</f>
        <v>---</v>
      </c>
      <c r="W264" s="64" t="str">
        <f ca="1">IFERROR(__xludf.DUMMYFUNCTION("""COMPUTED_VALUE"""),"Ranged")</f>
        <v>Ranged</v>
      </c>
      <c r="X264" s="64" t="str">
        <f ca="1">IFERROR(__xludf.DUMMYFUNCTION("""COMPUTED_VALUE"""),"PvZ 2 Chinease")</f>
        <v>PvZ 2 Chinease</v>
      </c>
      <c r="Y264" s="65" t="str">
        <f ca="1">IFERROR(__xludf.DUMMYFUNCTION("""COMPUTED_VALUE"""),"https://static.wikia.nocookie.net/plantsvszombies/images/b/bc/Kiwifruit2.png/revision/latest?cb=20221216040045")</f>
        <v>https://static.wikia.nocookie.net/plantsvszombies/images/b/bc/Kiwifruit2.png/revision/latest?cb=20221216040045</v>
      </c>
    </row>
    <row r="265" spans="1:25" x14ac:dyDescent="0.2">
      <c r="A265" s="64">
        <f ca="1">IFERROR(__xludf.DUMMYFUNCTION("""COMPUTED_VALUE"""),61)</f>
        <v>61</v>
      </c>
      <c r="B265" s="64" t="str">
        <f ca="1">IFERROR(__xludf.DUMMYFUNCTION("""COMPUTED_VALUE"""),"Pretty Plum")</f>
        <v>Pretty Plum</v>
      </c>
      <c r="C265" s="64" t="str">
        <f ca="1">IFERROR(__xludf.DUMMYFUNCTION("""COMPUTED_VALUE"""),"Linda Ameixa")</f>
        <v>Linda Ameixa</v>
      </c>
      <c r="D265" s="64" t="str">
        <f ca="1">IFERROR(__xludf.DUMMYFUNCTION("""COMPUTED_VALUE"""),"Perfura")</f>
        <v>Perfura</v>
      </c>
      <c r="E265" s="64" t="str">
        <f ca="1">IFERROR(__xludf.DUMMYFUNCTION("""COMPUTED_VALUE"""),"Attacks zombies by launching scattered plum.")</f>
        <v>Attacks zombies by launching scattered plum.</v>
      </c>
      <c r="F265" s="64">
        <f ca="1">IFERROR(__xludf.DUMMYFUNCTION("""COMPUTED_VALUE"""),225)</f>
        <v>225</v>
      </c>
      <c r="G265" s="64">
        <f ca="1">IFERROR(__xludf.DUMMYFUNCTION("""COMPUTED_VALUE"""),300)</f>
        <v>300</v>
      </c>
      <c r="H265" s="64">
        <f ca="1">IFERROR(__xludf.DUMMYFUNCTION("""COMPUTED_VALUE"""),60)</f>
        <v>60</v>
      </c>
      <c r="I265" s="64">
        <f ca="1">IFERROR(__xludf.DUMMYFUNCTION("""COMPUTED_VALUE"""),7.5)</f>
        <v>7.5</v>
      </c>
      <c r="J265" s="64" t="str">
        <f ca="1">IFERROR(__xludf.DUMMYFUNCTION("""COMPUTED_VALUE"""),"Throws a glob of plum blossoms into the air, catches it and then immediately fires 30 plum blossoms in a sector region ahead.")</f>
        <v>Throws a glob of plum blossoms into the air, catches it and then immediately fires 30 plum blossoms in a sector region ahead.</v>
      </c>
      <c r="K265" s="64"/>
      <c r="L265" s="64" t="str">
        <f ca="1">IFERROR(__xludf.DUMMYFUNCTION("""COMPUTED_VALUE"""),"Special - Pretty Plums will scatter after hitting a zombie")</f>
        <v>Special - Pretty Plums will scatter after hitting a zombie</v>
      </c>
      <c r="M265" s="64" t="b">
        <f ca="1">IFERROR(__xludf.DUMMYFUNCTION("""COMPUTED_VALUE"""),FALSE)</f>
        <v>0</v>
      </c>
      <c r="N265" s="64" t="b">
        <f ca="1">IFERROR(__xludf.DUMMYFUNCTION("""COMPUTED_VALUE"""),FALSE)</f>
        <v>0</v>
      </c>
      <c r="O265" s="64">
        <f ca="1">IFERROR(__xludf.DUMMYFUNCTION("""COMPUTED_VALUE"""),0)</f>
        <v>0</v>
      </c>
      <c r="P265" s="64" t="str">
        <f ca="1">IFERROR(__xludf.DUMMYFUNCTION("""COMPUTED_VALUE"""),"Rare")</f>
        <v>Rare</v>
      </c>
      <c r="Q265" s="64"/>
      <c r="R265" s="64" t="str">
        <f ca="1">IFERROR(__xludf.DUMMYFUNCTION("""COMPUTED_VALUE"""),"Wood")</f>
        <v>Wood</v>
      </c>
      <c r="S265" s="64" t="str">
        <f ca="1">IFERROR(__xludf.DUMMYFUNCTION("""COMPUTED_VALUE"""),"Chinese Sementium")</f>
        <v>Chinese Sementium</v>
      </c>
      <c r="T265" s="64" t="str">
        <f ca="1">IFERROR(__xludf.DUMMYFUNCTION("""COMPUTED_VALUE"""),"None")</f>
        <v>None</v>
      </c>
      <c r="U265" s="64" t="str">
        <f ca="1">IFERROR(__xludf.DUMMYFUNCTION("""COMPUTED_VALUE"""),"None")</f>
        <v>None</v>
      </c>
      <c r="V265" s="64" t="str">
        <f ca="1">IFERROR(__xludf.DUMMYFUNCTION("""COMPUTED_VALUE"""),"---")</f>
        <v>---</v>
      </c>
      <c r="W265" s="64" t="str">
        <f ca="1">IFERROR(__xludf.DUMMYFUNCTION("""COMPUTED_VALUE"""),"Ranged")</f>
        <v>Ranged</v>
      </c>
      <c r="X265" s="64" t="str">
        <f ca="1">IFERROR(__xludf.DUMMYFUNCTION("""COMPUTED_VALUE"""),"PvZ 2 Chinease")</f>
        <v>PvZ 2 Chinease</v>
      </c>
      <c r="Y265" s="65" t="str">
        <f ca="1">IFERROR(__xludf.DUMMYFUNCTION("""COMPUTED_VALUE"""),"https://static.wikia.nocookie.net/plantsvszombies/images/c/c0/Pretty_Plum2.png/revision/latest?cb=20170130043820")</f>
        <v>https://static.wikia.nocookie.net/plantsvszombies/images/c/c0/Pretty_Plum2.png/revision/latest?cb=20170130043820</v>
      </c>
    </row>
    <row r="266" spans="1:25" x14ac:dyDescent="0.2">
      <c r="A266" s="64">
        <f ca="1">IFERROR(__xludf.DUMMYFUNCTION("""COMPUTED_VALUE"""),62)</f>
        <v>62</v>
      </c>
      <c r="B266" s="64" t="str">
        <f ca="1">IFERROR(__xludf.DUMMYFUNCTION("""COMPUTED_VALUE"""),"Dragonfruit")</f>
        <v>Dragonfruit</v>
      </c>
      <c r="C266" s="64" t="str">
        <f ca="1">IFERROR(__xludf.DUMMYFUNCTION("""COMPUTED_VALUE"""),"Pitaia")</f>
        <v>Pitaia</v>
      </c>
      <c r="D266" s="64" t="str">
        <f ca="1">IFERROR(__xludf.DUMMYFUNCTION("""COMPUTED_VALUE"""),"Aquecida")</f>
        <v>Aquecida</v>
      </c>
      <c r="E266" s="64" t="str">
        <f ca="1">IFERROR(__xludf.DUMMYFUNCTION("""COMPUTED_VALUE"""),"Spits burning pulp, dealing a small amount damage to the enemy.")</f>
        <v>Spits burning pulp, dealing a small amount damage to the enemy.</v>
      </c>
      <c r="F266" s="64">
        <f ca="1">IFERROR(__xludf.DUMMYFUNCTION("""COMPUTED_VALUE"""),150)</f>
        <v>150</v>
      </c>
      <c r="G266" s="64">
        <f ca="1">IFERROR(__xludf.DUMMYFUNCTION("""COMPUTED_VALUE"""),300)</f>
        <v>300</v>
      </c>
      <c r="H266" s="64">
        <f ca="1">IFERROR(__xludf.DUMMYFUNCTION("""COMPUTED_VALUE"""),50)</f>
        <v>50</v>
      </c>
      <c r="I266" s="64">
        <f ca="1">IFERROR(__xludf.DUMMYFUNCTION("""COMPUTED_VALUE"""),5)</f>
        <v>5</v>
      </c>
      <c r="J266" s="64" t="str">
        <f ca="1">IFERROR(__xludf.DUMMYFUNCTION("""COMPUTED_VALUE"""),"Dragonfruit fires a lava ball that rolls on the ground to the right, dealing damage to all the zombies on the row.")</f>
        <v>Dragonfruit fires a lava ball that rolls on the ground to the right, dealing damage to all the zombies on the row.</v>
      </c>
      <c r="K266" s="64"/>
      <c r="L266" s="64"/>
      <c r="M266" s="64" t="b">
        <f ca="1">IFERROR(__xludf.DUMMYFUNCTION("""COMPUTED_VALUE"""),FALSE)</f>
        <v>0</v>
      </c>
      <c r="N266" s="64" t="b">
        <f ca="1">IFERROR(__xludf.DUMMYFUNCTION("""COMPUTED_VALUE"""),FALSE)</f>
        <v>0</v>
      </c>
      <c r="O266" s="64">
        <f ca="1">IFERROR(__xludf.DUMMYFUNCTION("""COMPUTED_VALUE"""),0)</f>
        <v>0</v>
      </c>
      <c r="P266" s="64" t="str">
        <f ca="1">IFERROR(__xludf.DUMMYFUNCTION("""COMPUTED_VALUE"""),"Rare")</f>
        <v>Rare</v>
      </c>
      <c r="Q266" s="64" t="str">
        <f ca="1">IFERROR(__xludf.DUMMYFUNCTION("""COMPUTED_VALUE"""),"area-effect, dragon")</f>
        <v>area-effect, dragon</v>
      </c>
      <c r="R266" s="64" t="str">
        <f ca="1">IFERROR(__xludf.DUMMYFUNCTION("""COMPUTED_VALUE"""),"Fruit")</f>
        <v>Fruit</v>
      </c>
      <c r="S266" s="64" t="str">
        <f ca="1">IFERROR(__xludf.DUMMYFUNCTION("""COMPUTED_VALUE"""),"Chinese Sementium")</f>
        <v>Chinese Sementium</v>
      </c>
      <c r="T266" s="64" t="str">
        <f ca="1">IFERROR(__xludf.DUMMYFUNCTION("""COMPUTED_VALUE"""),"None")</f>
        <v>None</v>
      </c>
      <c r="U266" s="64" t="str">
        <f ca="1">IFERROR(__xludf.DUMMYFUNCTION("""COMPUTED_VALUE"""),"None")</f>
        <v>None</v>
      </c>
      <c r="V266" s="64" t="str">
        <f ca="1">IFERROR(__xludf.DUMMYFUNCTION("""COMPUTED_VALUE"""),"---")</f>
        <v>---</v>
      </c>
      <c r="W266" s="64" t="str">
        <f ca="1">IFERROR(__xludf.DUMMYFUNCTION("""COMPUTED_VALUE"""),"Ranged")</f>
        <v>Ranged</v>
      </c>
      <c r="X266" s="64" t="str">
        <f ca="1">IFERROR(__xludf.DUMMYFUNCTION("""COMPUTED_VALUE"""),"PvZ 2 Chinease")</f>
        <v>PvZ 2 Chinease</v>
      </c>
      <c r="Y266" s="65" t="str">
        <f ca="1">IFERROR(__xludf.DUMMYFUNCTION("""COMPUTED_VALUE"""),"https://static.wikia.nocookie.net/plantsvszombies/images/6/64/Dragonfruit2.png/revision/latest?cb=20180312024046")</f>
        <v>https://static.wikia.nocookie.net/plantsvszombies/images/6/64/Dragonfruit2.png/revision/latest?cb=20180312024046</v>
      </c>
    </row>
    <row r="267" spans="1:25" x14ac:dyDescent="0.2">
      <c r="A267" s="64">
        <f ca="1">IFERROR(__xludf.DUMMYFUNCTION("""COMPUTED_VALUE"""),63)</f>
        <v>63</v>
      </c>
      <c r="B267" s="64" t="str">
        <f ca="1">IFERROR(__xludf.DUMMYFUNCTION("""COMPUTED_VALUE"""),"Angel Starfruit")</f>
        <v>Angel Starfruit</v>
      </c>
      <c r="C267" s="64" t="str">
        <f ca="1">IFERROR(__xludf.DUMMYFUNCTION("""COMPUTED_VALUE"""),"Carambola Angelical")</f>
        <v>Carambola Angelical</v>
      </c>
      <c r="D267" s="64" t="str">
        <f ca="1">IFERROR(__xludf.DUMMYFUNCTION("""COMPUTED_VALUE"""),"Dispara")</f>
        <v>Dispara</v>
      </c>
      <c r="E267" s="64" t="str">
        <f ca="1">IFERROR(__xludf.DUMMYFUNCTION("""COMPUTED_VALUE"""),"stars in ten directions.")</f>
        <v>stars in ten directions.</v>
      </c>
      <c r="F267" s="64">
        <f ca="1">IFERROR(__xludf.DUMMYFUNCTION("""COMPUTED_VALUE"""),225)</f>
        <v>225</v>
      </c>
      <c r="G267" s="64">
        <f ca="1">IFERROR(__xludf.DUMMYFUNCTION("""COMPUTED_VALUE"""),300)</f>
        <v>300</v>
      </c>
      <c r="H267" s="64">
        <f ca="1">IFERROR(__xludf.DUMMYFUNCTION("""COMPUTED_VALUE"""),35)</f>
        <v>35</v>
      </c>
      <c r="I267" s="64">
        <f ca="1">IFERROR(__xludf.DUMMYFUNCTION("""COMPUTED_VALUE"""),7.5)</f>
        <v>7.5</v>
      </c>
      <c r="J267" s="64" t="str">
        <f ca="1">IFERROR(__xludf.DUMMYFUNCTION("""COMPUTED_VALUE"""),"Angel Starfruit fires 45 big stars with double damage to each of the five directions while spinning.")</f>
        <v>Angel Starfruit fires 45 big stars with double damage to each of the five directions while spinning.</v>
      </c>
      <c r="K267" s="64" t="str">
        <f ca="1">IFERROR(__xludf.DUMMYFUNCTION("""COMPUTED_VALUE"""),"Fires in ten directions")</f>
        <v>Fires in ten directions</v>
      </c>
      <c r="L267" s="64"/>
      <c r="M267" s="64" t="b">
        <f ca="1">IFERROR(__xludf.DUMMYFUNCTION("""COMPUTED_VALUE"""),FALSE)</f>
        <v>0</v>
      </c>
      <c r="N267" s="64" t="b">
        <f ca="1">IFERROR(__xludf.DUMMYFUNCTION("""COMPUTED_VALUE"""),FALSE)</f>
        <v>0</v>
      </c>
      <c r="O267" s="64">
        <f ca="1">IFERROR(__xludf.DUMMYFUNCTION("""COMPUTED_VALUE"""),0)</f>
        <v>0</v>
      </c>
      <c r="P267" s="64" t="str">
        <f ca="1">IFERROR(__xludf.DUMMYFUNCTION("""COMPUTED_VALUE"""),"Legendary")</f>
        <v>Legendary</v>
      </c>
      <c r="Q267" s="64" t="str">
        <f ca="1">IFERROR(__xludf.DUMMYFUNCTION("""COMPUTED_VALUE"""),"area-effect")</f>
        <v>area-effect</v>
      </c>
      <c r="R267" s="64" t="str">
        <f ca="1">IFERROR(__xludf.DUMMYFUNCTION("""COMPUTED_VALUE"""),"Fruit")</f>
        <v>Fruit</v>
      </c>
      <c r="S267" s="64" t="str">
        <f ca="1">IFERROR(__xludf.DUMMYFUNCTION("""COMPUTED_VALUE"""),"Chinese Sementium")</f>
        <v>Chinese Sementium</v>
      </c>
      <c r="T267" s="64" t="str">
        <f ca="1">IFERROR(__xludf.DUMMYFUNCTION("""COMPUTED_VALUE"""),"None")</f>
        <v>None</v>
      </c>
      <c r="U267" s="64" t="str">
        <f ca="1">IFERROR(__xludf.DUMMYFUNCTION("""COMPUTED_VALUE"""),"None")</f>
        <v>None</v>
      </c>
      <c r="V267" s="64" t="str">
        <f ca="1">IFERROR(__xludf.DUMMYFUNCTION("""COMPUTED_VALUE"""),"---")</f>
        <v>---</v>
      </c>
      <c r="W267" s="64" t="str">
        <f ca="1">IFERROR(__xludf.DUMMYFUNCTION("""COMPUTED_VALUE"""),"Ranged")</f>
        <v>Ranged</v>
      </c>
      <c r="X267" s="64" t="str">
        <f ca="1">IFERROR(__xludf.DUMMYFUNCTION("""COMPUTED_VALUE"""),"PvZ 2 Chinease")</f>
        <v>PvZ 2 Chinease</v>
      </c>
      <c r="Y267" s="65" t="str">
        <f ca="1">IFERROR(__xludf.DUMMYFUNCTION("""COMPUTED_VALUE"""),"https://static.wikia.nocookie.net/plantsvszombies/images/5/52/Angel_Starfruit2.png/revision/latest?cb=20190321155238")</f>
        <v>https://static.wikia.nocookie.net/plantsvszombies/images/5/52/Angel_Starfruit2.png/revision/latest?cb=20190321155238</v>
      </c>
    </row>
    <row r="268" spans="1:25" x14ac:dyDescent="0.2">
      <c r="A268" s="64">
        <f ca="1">IFERROR(__xludf.DUMMYFUNCTION("""COMPUTED_VALUE"""),64)</f>
        <v>64</v>
      </c>
      <c r="B268" s="64" t="str">
        <f ca="1">IFERROR(__xludf.DUMMYFUNCTION("""COMPUTED_VALUE"""),"Gatling Pea")</f>
        <v>Gatling Pea</v>
      </c>
      <c r="C268" s="64" t="str">
        <f ca="1">IFERROR(__xludf.DUMMYFUNCTION("""COMPUTED_VALUE"""),"Ervilhadora")</f>
        <v>Ervilhadora</v>
      </c>
      <c r="D268" s="64" t="str">
        <f ca="1">IFERROR(__xludf.DUMMYFUNCTION("""COMPUTED_VALUE"""),"Dispara")</f>
        <v>Dispara</v>
      </c>
      <c r="E268" s="64" t="str">
        <f ca="1">IFERROR(__xludf.DUMMYFUNCTION("""COMPUTED_VALUE"""),"Dispara quatro ervilhas em sequencia")</f>
        <v>Dispara quatro ervilhas em sequencia</v>
      </c>
      <c r="F268" s="64">
        <f ca="1">IFERROR(__xludf.DUMMYFUNCTION("""COMPUTED_VALUE"""),375)</f>
        <v>375</v>
      </c>
      <c r="G268" s="64">
        <f ca="1">IFERROR(__xludf.DUMMYFUNCTION("""COMPUTED_VALUE"""),300)</f>
        <v>300</v>
      </c>
      <c r="H268" s="64">
        <f ca="1">IFERROR(__xludf.DUMMYFUNCTION("""COMPUTED_VALUE"""),20)</f>
        <v>20</v>
      </c>
      <c r="I268" s="64">
        <f ca="1">IFERROR(__xludf.DUMMYFUNCTION("""COMPUTED_VALUE"""),5)</f>
        <v>5</v>
      </c>
      <c r="J268" s="64" t="str">
        <f ca="1">IFERROR(__xludf.DUMMYFUNCTION("""COMPUTED_VALUE"""),"Deploys all firepower, shooting enemies on the three rows to the right with many machine guns.")</f>
        <v>Deploys all firepower, shooting enemies on the three rows to the right with many machine guns.</v>
      </c>
      <c r="K268" s="64"/>
      <c r="L268" s="64"/>
      <c r="M268" s="64" t="b">
        <f ca="1">IFERROR(__xludf.DUMMYFUNCTION("""COMPUTED_VALUE"""),FALSE)</f>
        <v>0</v>
      </c>
      <c r="N268" s="64" t="b">
        <f ca="1">IFERROR(__xludf.DUMMYFUNCTION("""COMPUTED_VALUE"""),FALSE)</f>
        <v>0</v>
      </c>
      <c r="O268" s="64">
        <f ca="1">IFERROR(__xludf.DUMMYFUNCTION("""COMPUTED_VALUE"""),0)</f>
        <v>0</v>
      </c>
      <c r="P268" s="64" t="str">
        <f ca="1">IFERROR(__xludf.DUMMYFUNCTION("""COMPUTED_VALUE"""),"Legendary")</f>
        <v>Legendary</v>
      </c>
      <c r="Q268" s="64"/>
      <c r="R268" s="64" t="str">
        <f ca="1">IFERROR(__xludf.DUMMYFUNCTION("""COMPUTED_VALUE"""),"Pea")</f>
        <v>Pea</v>
      </c>
      <c r="S268" s="64" t="str">
        <f ca="1">IFERROR(__xludf.DUMMYFUNCTION("""COMPUTED_VALUE"""),"Chinese Sementium")</f>
        <v>Chinese Sementium</v>
      </c>
      <c r="T268" s="64" t="str">
        <f ca="1">IFERROR(__xludf.DUMMYFUNCTION("""COMPUTED_VALUE"""),"None")</f>
        <v>None</v>
      </c>
      <c r="U268" s="64" t="str">
        <f ca="1">IFERROR(__xludf.DUMMYFUNCTION("""COMPUTED_VALUE"""),"None")</f>
        <v>None</v>
      </c>
      <c r="V268" s="64" t="str">
        <f ca="1">IFERROR(__xludf.DUMMYFUNCTION("""COMPUTED_VALUE"""),"---")</f>
        <v>---</v>
      </c>
      <c r="W268" s="64" t="str">
        <f ca="1">IFERROR(__xludf.DUMMYFUNCTION("""COMPUTED_VALUE"""),"Ranged")</f>
        <v>Ranged</v>
      </c>
      <c r="X268" s="64" t="str">
        <f ca="1">IFERROR(__xludf.DUMMYFUNCTION("""COMPUTED_VALUE"""),"PvZ, PvZ 2 Chinease, PvZ Heroes, PvZ GW, PvZ GW 2, PvZ BfN")</f>
        <v>PvZ, PvZ 2 Chinease, PvZ Heroes, PvZ GW, PvZ GW 2, PvZ BfN</v>
      </c>
      <c r="Y268" s="65" t="str">
        <f ca="1">IFERROR(__xludf.DUMMYFUNCTION("""COMPUTED_VALUE"""),"https://static.wikia.nocookie.net/plantsvszombies/images/2/2c/Gatling_Pea2.png/revision/latest?cb=20220323010447")</f>
        <v>https://static.wikia.nocookie.net/plantsvszombies/images/2/2c/Gatling_Pea2.png/revision/latest?cb=20220323010447</v>
      </c>
    </row>
    <row r="269" spans="1:25" x14ac:dyDescent="0.2">
      <c r="A269" s="64">
        <f ca="1">IFERROR(__xludf.DUMMYFUNCTION("""COMPUTED_VALUE"""),65)</f>
        <v>65</v>
      </c>
      <c r="B269" s="64" t="str">
        <f ca="1">IFERROR(__xludf.DUMMYFUNCTION("""COMPUTED_VALUE"""),"Banksia Boxer")</f>
        <v>Banksia Boxer</v>
      </c>
      <c r="C269" s="64" t="str">
        <f ca="1">IFERROR(__xludf.DUMMYFUNCTION("""COMPUTED_VALUE"""),"Banksia Boxeadora")</f>
        <v>Banksia Boxeadora</v>
      </c>
      <c r="D269" s="64" t="str">
        <f ca="1">IFERROR(__xludf.DUMMYFUNCTION("""COMPUTED_VALUE"""),"Aquecida")</f>
        <v>Aquecida</v>
      </c>
      <c r="E269" s="64" t="str">
        <f ca="1">IFERROR(__xludf.DUMMYFUNCTION("""COMPUTED_VALUE"""),"Attacks enemies in front of it, the more it attacks the more fiery it is, can light peas after set alight.")</f>
        <v>Attacks enemies in front of it, the more it attacks the more fiery it is, can light peas after set alight.</v>
      </c>
      <c r="F269" s="64">
        <f ca="1">IFERROR(__xludf.DUMMYFUNCTION("""COMPUTED_VALUE"""),255)</f>
        <v>255</v>
      </c>
      <c r="G269" s="64">
        <f ca="1">IFERROR(__xludf.DUMMYFUNCTION("""COMPUTED_VALUE"""),300)</f>
        <v>300</v>
      </c>
      <c r="H269" s="64">
        <f ca="1">IFERROR(__xludf.DUMMYFUNCTION("""COMPUTED_VALUE"""),15)</f>
        <v>15</v>
      </c>
      <c r="I269" s="64">
        <f ca="1">IFERROR(__xludf.DUMMYFUNCTION("""COMPUTED_VALUE"""),5)</f>
        <v>5</v>
      </c>
      <c r="J269" s="64" t="str">
        <f ca="1">IFERROR(__xludf.DUMMYFUNCTION("""COMPUTED_VALUE"""),"Immediately reaches third stage and deal damage to the 3×3 region nearby.")</f>
        <v>Immediately reaches third stage and deal damage to the 3×3 region nearby.</v>
      </c>
      <c r="K269" s="64" t="str">
        <f ca="1">IFERROR(__xludf.DUMMYFUNCTION("""COMPUTED_VALUE"""),"Attack range 1 tile ahead")</f>
        <v>Attack range 1 tile ahead</v>
      </c>
      <c r="L269" s="64" t="str">
        <f ca="1">IFERROR(__xludf.DUMMYFUNCTION("""COMPUTED_VALUE"""),"Special - Light itself after attacking for a while, can also be lit by other plants. Can ignite peas after being set alight.")</f>
        <v>Special - Light itself after attacking for a while, can also be lit by other plants. Can ignite peas after being set alight.</v>
      </c>
      <c r="M269" s="64" t="b">
        <f ca="1">IFERROR(__xludf.DUMMYFUNCTION("""COMPUTED_VALUE"""),FALSE)</f>
        <v>0</v>
      </c>
      <c r="N269" s="64" t="b">
        <f ca="1">IFERROR(__xludf.DUMMYFUNCTION("""COMPUTED_VALUE"""),FALSE)</f>
        <v>0</v>
      </c>
      <c r="O269" s="64">
        <f ca="1">IFERROR(__xludf.DUMMYFUNCTION("""COMPUTED_VALUE"""),0)</f>
        <v>0</v>
      </c>
      <c r="P269" s="64" t="str">
        <f ca="1">IFERROR(__xludf.DUMMYFUNCTION("""COMPUTED_VALUE"""),"Epic")</f>
        <v>Epic</v>
      </c>
      <c r="Q269" s="64"/>
      <c r="R269" s="64" t="str">
        <f ca="1">IFERROR(__xludf.DUMMYFUNCTION("""COMPUTED_VALUE"""),"Flower")</f>
        <v>Flower</v>
      </c>
      <c r="S269" s="64" t="str">
        <f ca="1">IFERROR(__xludf.DUMMYFUNCTION("""COMPUTED_VALUE"""),"Chinese Sementium")</f>
        <v>Chinese Sementium</v>
      </c>
      <c r="T269" s="64" t="str">
        <f ca="1">IFERROR(__xludf.DUMMYFUNCTION("""COMPUTED_VALUE"""),"None")</f>
        <v>None</v>
      </c>
      <c r="U269" s="64" t="str">
        <f ca="1">IFERROR(__xludf.DUMMYFUNCTION("""COMPUTED_VALUE"""),"None")</f>
        <v>None</v>
      </c>
      <c r="V269" s="64" t="str">
        <f ca="1">IFERROR(__xludf.DUMMYFUNCTION("""COMPUTED_VALUE"""),"---")</f>
        <v>---</v>
      </c>
      <c r="W269" s="64" t="str">
        <f ca="1">IFERROR(__xludf.DUMMYFUNCTION("""COMPUTED_VALUE"""),"Vanguard")</f>
        <v>Vanguard</v>
      </c>
      <c r="X269" s="64" t="str">
        <f ca="1">IFERROR(__xludf.DUMMYFUNCTION("""COMPUTED_VALUE"""),"PvZ 2 Chinease")</f>
        <v>PvZ 2 Chinease</v>
      </c>
      <c r="Y269" s="65" t="str">
        <f ca="1">IFERROR(__xludf.DUMMYFUNCTION("""COMPUTED_VALUE"""),"https://static.wikia.nocookie.net/plantsvszombies/images/9/91/Banksia_Boxer2.png/revision/latest?cb=20221208011223")</f>
        <v>https://static.wikia.nocookie.net/plantsvszombies/images/9/91/Banksia_Boxer2.png/revision/latest?cb=20221208011223</v>
      </c>
    </row>
    <row r="270" spans="1:25" x14ac:dyDescent="0.2">
      <c r="A270" s="64">
        <f ca="1">IFERROR(__xludf.DUMMYFUNCTION("""COMPUTED_VALUE"""),66)</f>
        <v>66</v>
      </c>
      <c r="B270" s="64" t="str">
        <f ca="1">IFERROR(__xludf.DUMMYFUNCTION("""COMPUTED_VALUE"""),"Firebloom Queen")</f>
        <v>Firebloom Queen</v>
      </c>
      <c r="C270" s="64" t="str">
        <f ca="1">IFERROR(__xludf.DUMMYFUNCTION("""COMPUTED_VALUE"""),"Rainha da Flor de Fogo")</f>
        <v>Rainha da Flor de Fogo</v>
      </c>
      <c r="D270" s="64" t="str">
        <f ca="1">IFERROR(__xludf.DUMMYFUNCTION("""COMPUTED_VALUE"""),"Aquecida")</f>
        <v>Aquecida</v>
      </c>
      <c r="E270" s="64" t="str">
        <f ca="1">IFERROR(__xludf.DUMMYFUNCTION("""COMPUTED_VALUE"""),"Flame Flower Queen attacks far enemies, and releases fire to close enemies.")</f>
        <v>Flame Flower Queen attacks far enemies, and releases fire to close enemies.</v>
      </c>
      <c r="F270" s="64">
        <f ca="1">IFERROR(__xludf.DUMMYFUNCTION("""COMPUTED_VALUE"""),450)</f>
        <v>450</v>
      </c>
      <c r="G270" s="64">
        <f ca="1">IFERROR(__xludf.DUMMYFUNCTION("""COMPUTED_VALUE"""),300)</f>
        <v>300</v>
      </c>
      <c r="H270" s="64">
        <f ca="1">IFERROR(__xludf.DUMMYFUNCTION("""COMPUTED_VALUE"""),100)</f>
        <v>100</v>
      </c>
      <c r="I270" s="64">
        <f ca="1">IFERROR(__xludf.DUMMYFUNCTION("""COMPUTED_VALUE"""),7.5)</f>
        <v>7.5</v>
      </c>
      <c r="J270" s="64" t="str">
        <f ca="1">IFERROR(__xludf.DUMMYFUNCTION("""COMPUTED_VALUE"""),"Unleashes all the wrath unto zombies to show the power of the queen, spraying flames to cover the three rows to the right, lasting 5 seconds.")</f>
        <v>Unleashes all the wrath unto zombies to show the power of the queen, spraying flames to cover the three rows to the right, lasting 5 seconds.</v>
      </c>
      <c r="K270" s="64"/>
      <c r="L270" s="64" t="str">
        <f ca="1">IFERROR(__xludf.DUMMYFUNCTION("""COMPUTED_VALUE"""),"Special - Damage increases, when the enemy is close.")</f>
        <v>Special - Damage increases, when the enemy is close.</v>
      </c>
      <c r="M270" s="64" t="b">
        <f ca="1">IFERROR(__xludf.DUMMYFUNCTION("""COMPUTED_VALUE"""),FALSE)</f>
        <v>0</v>
      </c>
      <c r="N270" s="64" t="b">
        <f ca="1">IFERROR(__xludf.DUMMYFUNCTION("""COMPUTED_VALUE"""),FALSE)</f>
        <v>0</v>
      </c>
      <c r="O270" s="64">
        <f ca="1">IFERROR(__xludf.DUMMYFUNCTION("""COMPUTED_VALUE"""),0)</f>
        <v>0</v>
      </c>
      <c r="P270" s="64" t="str">
        <f ca="1">IFERROR(__xludf.DUMMYFUNCTION("""COMPUTED_VALUE"""),"Legendary")</f>
        <v>Legendary</v>
      </c>
      <c r="Q270" s="64" t="str">
        <f ca="1">IFERROR(__xludf.DUMMYFUNCTION("""COMPUTED_VALUE"""),"area-effect")</f>
        <v>area-effect</v>
      </c>
      <c r="R270" s="64" t="str">
        <f ca="1">IFERROR(__xludf.DUMMYFUNCTION("""COMPUTED_VALUE"""),"Flower")</f>
        <v>Flower</v>
      </c>
      <c r="S270" s="64" t="str">
        <f ca="1">IFERROR(__xludf.DUMMYFUNCTION("""COMPUTED_VALUE"""),"Chinese Sementium")</f>
        <v>Chinese Sementium</v>
      </c>
      <c r="T270" s="64" t="str">
        <f ca="1">IFERROR(__xludf.DUMMYFUNCTION("""COMPUTED_VALUE"""),"None")</f>
        <v>None</v>
      </c>
      <c r="U270" s="64" t="str">
        <f ca="1">IFERROR(__xludf.DUMMYFUNCTION("""COMPUTED_VALUE"""),"None")</f>
        <v>None</v>
      </c>
      <c r="V270" s="64" t="str">
        <f ca="1">IFERROR(__xludf.DUMMYFUNCTION("""COMPUTED_VALUE"""),"---")</f>
        <v>---</v>
      </c>
      <c r="W270" s="64" t="str">
        <f ca="1">IFERROR(__xludf.DUMMYFUNCTION("""COMPUTED_VALUE"""),"Ranged")</f>
        <v>Ranged</v>
      </c>
      <c r="X270" s="64" t="str">
        <f ca="1">IFERROR(__xludf.DUMMYFUNCTION("""COMPUTED_VALUE"""),"PvZ 2 Chinease")</f>
        <v>PvZ 2 Chinease</v>
      </c>
      <c r="Y270" s="65" t="str">
        <f ca="1">IFERROR(__xludf.DUMMYFUNCTION("""COMPUTED_VALUE"""),"https://static.wikia.nocookie.net/plantsvszombies/images/f/f8/Flame_Flower_Queen2.png/revision/latest?cb=20221208001810")</f>
        <v>https://static.wikia.nocookie.net/plantsvszombies/images/f/f8/Flame_Flower_Queen2.png/revision/latest?cb=20221208001810</v>
      </c>
    </row>
    <row r="271" spans="1:25" x14ac:dyDescent="0.2">
      <c r="A271" s="64">
        <f ca="1">IFERROR(__xludf.DUMMYFUNCTION("""COMPUTED_VALUE"""),67)</f>
        <v>67</v>
      </c>
      <c r="B271" s="64" t="str">
        <f ca="1">IFERROR(__xludf.DUMMYFUNCTION("""COMPUTED_VALUE"""),"Cattail")</f>
        <v>Cattail</v>
      </c>
      <c r="C271" s="64" t="str">
        <f ca="1">IFERROR(__xludf.DUMMYFUNCTION("""COMPUTED_VALUE"""),"Rabo de gato")</f>
        <v>Rabo de gato</v>
      </c>
      <c r="D271" s="64" t="str">
        <f ca="1">IFERROR(__xludf.DUMMYFUNCTION("""COMPUTED_VALUE"""),"Perfura")</f>
        <v>Perfura</v>
      </c>
      <c r="E271" s="64" t="str">
        <f ca="1">IFERROR(__xludf.DUMMYFUNCTION("""COMPUTED_VALUE"""),"Dispara no zumbi mais próximo")</f>
        <v>Dispara no zumbi mais próximo</v>
      </c>
      <c r="F271" s="64">
        <f ca="1">IFERROR(__xludf.DUMMYFUNCTION("""COMPUTED_VALUE"""),325)</f>
        <v>325</v>
      </c>
      <c r="G271" s="64">
        <f ca="1">IFERROR(__xludf.DUMMYFUNCTION("""COMPUTED_VALUE"""),300)</f>
        <v>300</v>
      </c>
      <c r="H271" s="64">
        <f ca="1">IFERROR(__xludf.DUMMYFUNCTION("""COMPUTED_VALUE"""),45)</f>
        <v>45</v>
      </c>
      <c r="I271" s="64">
        <f ca="1">IFERROR(__xludf.DUMMYFUNCTION("""COMPUTED_VALUE"""),45784)</f>
        <v>45784</v>
      </c>
      <c r="J271" s="64" t="str">
        <f ca="1">IFERROR(__xludf.DUMMYFUNCTION("""COMPUTED_VALUE"""),"Concentrates laser to fire powerful railgun shot to attack zombies, dealing massive damage in 5 seconds.")</f>
        <v>Concentrates laser to fire powerful railgun shot to attack zombies, dealing massive damage in 5 seconds.</v>
      </c>
      <c r="K271" s="64"/>
      <c r="L271" s="64" t="str">
        <f ca="1">IFERROR(__xludf.DUMMYFUNCTION("""COMPUTED_VALUE"""),"Special - Launches homing spikes at zombies that can stun them briefly.")</f>
        <v>Special - Launches homing spikes at zombies that can stun them briefly.</v>
      </c>
      <c r="M271" s="64" t="b">
        <f ca="1">IFERROR(__xludf.DUMMYFUNCTION("""COMPUTED_VALUE"""),FALSE)</f>
        <v>0</v>
      </c>
      <c r="N271" s="64" t="b">
        <f ca="1">IFERROR(__xludf.DUMMYFUNCTION("""COMPUTED_VALUE"""),FALSE)</f>
        <v>0</v>
      </c>
      <c r="O271" s="64">
        <f ca="1">IFERROR(__xludf.DUMMYFUNCTION("""COMPUTED_VALUE"""),0)</f>
        <v>0</v>
      </c>
      <c r="P271" s="64" t="str">
        <f ca="1">IFERROR(__xludf.DUMMYFUNCTION("""COMPUTED_VALUE"""),"Legendary")</f>
        <v>Legendary</v>
      </c>
      <c r="Q271" s="64" t="str">
        <f ca="1">IFERROR(__xludf.DUMMYFUNCTION("""COMPUTED_VALUE"""),"aquatic")</f>
        <v>aquatic</v>
      </c>
      <c r="R271" s="64" t="str">
        <f ca="1">IFERROR(__xludf.DUMMYFUNCTION("""COMPUTED_VALUE"""),"Leaf")</f>
        <v>Leaf</v>
      </c>
      <c r="S271" s="64" t="str">
        <f ca="1">IFERROR(__xludf.DUMMYFUNCTION("""COMPUTED_VALUE"""),"Chinese Sementium")</f>
        <v>Chinese Sementium</v>
      </c>
      <c r="T271" s="64" t="str">
        <f ca="1">IFERROR(__xludf.DUMMYFUNCTION("""COMPUTED_VALUE"""),"None")</f>
        <v>None</v>
      </c>
      <c r="U271" s="64" t="str">
        <f ca="1">IFERROR(__xludf.DUMMYFUNCTION("""COMPUTED_VALUE"""),"None")</f>
        <v>None</v>
      </c>
      <c r="V271" s="64" t="str">
        <f ca="1">IFERROR(__xludf.DUMMYFUNCTION("""COMPUTED_VALUE"""),"---")</f>
        <v>---</v>
      </c>
      <c r="W271" s="64" t="str">
        <f ca="1">IFERROR(__xludf.DUMMYFUNCTION("""COMPUTED_VALUE"""),"Ranged")</f>
        <v>Ranged</v>
      </c>
      <c r="X271" s="64" t="str">
        <f ca="1">IFERROR(__xludf.DUMMYFUNCTION("""COMPUTED_VALUE"""),"PvZ, PvZ 2 Chinease, PvZ Heroes")</f>
        <v>PvZ, PvZ 2 Chinease, PvZ Heroes</v>
      </c>
      <c r="Y271" s="65" t="str">
        <f ca="1">IFERROR(__xludf.DUMMYFUNCTION("""COMPUTED_VALUE"""),"https://static.wikia.nocookie.net/plantsvszombies/images/b/ba/Cattail2.png/revision/latest?cb=20210908084210")</f>
        <v>https://static.wikia.nocookie.net/plantsvszombies/images/b/ba/Cattail2.png/revision/latest?cb=20210908084210</v>
      </c>
    </row>
    <row r="272" spans="1:25" x14ac:dyDescent="0.2">
      <c r="A272" s="64">
        <f ca="1">IFERROR(__xludf.DUMMYFUNCTION("""COMPUTED_VALUE"""),68)</f>
        <v>68</v>
      </c>
      <c r="B272" s="64" t="str">
        <f ca="1">IFERROR(__xludf.DUMMYFUNCTION("""COMPUTED_VALUE"""),"Cob Cannon")</f>
        <v>Cob Cannon</v>
      </c>
      <c r="C272" s="64" t="str">
        <f ca="1">IFERROR(__xludf.DUMMYFUNCTION("""COMPUTED_VALUE"""),"Canhão-de-Milho")</f>
        <v>Canhão-de-Milho</v>
      </c>
      <c r="D272" s="64" t="str">
        <f ca="1">IFERROR(__xludf.DUMMYFUNCTION("""COMPUTED_VALUE"""),"Arma")</f>
        <v>Arma</v>
      </c>
      <c r="E272" s="64" t="str">
        <f ca="1">IFERROR(__xludf.DUMMYFUNCTION("""COMPUTED_VALUE"""),"Dispara uma espiga devastadora em qualquer lugar.")</f>
        <v>Dispara uma espiga devastadora em qualquer lugar.</v>
      </c>
      <c r="F272" s="64">
        <f ca="1">IFERROR(__xludf.DUMMYFUNCTION("""COMPUTED_VALUE"""),500)</f>
        <v>500</v>
      </c>
      <c r="G272" s="64">
        <f ca="1">IFERROR(__xludf.DUMMYFUNCTION("""COMPUTED_VALUE"""),300)</f>
        <v>300</v>
      </c>
      <c r="H272" s="64">
        <f ca="1">IFERROR(__xludf.DUMMYFUNCTION("""COMPUTED_VALUE"""),1200)</f>
        <v>1200</v>
      </c>
      <c r="I272" s="64">
        <f ca="1">IFERROR(__xludf.DUMMYFUNCTION("""COMPUTED_VALUE"""),10)</f>
        <v>10</v>
      </c>
      <c r="J272" s="64" t="str">
        <f ca="1">IFERROR(__xludf.DUMMYFUNCTION("""COMPUTED_VALUE"""),"Cob Cannon rests after firing a floating cob. Said cob will fire kernels to attack zombies.")</f>
        <v>Cob Cannon rests after firing a floating cob. Said cob will fire kernels to attack zombies.</v>
      </c>
      <c r="K272" s="64" t="str">
        <f ca="1">IFERROR(__xludf.DUMMYFUNCTION("""COMPUTED_VALUE"""),"Must be placed on two corn-pults")</f>
        <v>Must be placed on two corn-pults</v>
      </c>
      <c r="L272" s="64" t="str">
        <f ca="1">IFERROR(__xludf.DUMMYFUNCTION("""COMPUTED_VALUE"""),"Special - On impact, explodes in an area of 9 tiles")</f>
        <v>Special - On impact, explodes in an area of 9 tiles</v>
      </c>
      <c r="M272" s="64" t="b">
        <f ca="1">IFERROR(__xludf.DUMMYFUNCTION("""COMPUTED_VALUE"""),FALSE)</f>
        <v>0</v>
      </c>
      <c r="N272" s="64" t="b">
        <f ca="1">IFERROR(__xludf.DUMMYFUNCTION("""COMPUTED_VALUE"""),FALSE)</f>
        <v>0</v>
      </c>
      <c r="O272" s="64">
        <f ca="1">IFERROR(__xludf.DUMMYFUNCTION("""COMPUTED_VALUE"""),0)</f>
        <v>0</v>
      </c>
      <c r="P272" s="64" t="str">
        <f ca="1">IFERROR(__xludf.DUMMYFUNCTION("""COMPUTED_VALUE"""),"Legendary")</f>
        <v>Legendary</v>
      </c>
      <c r="Q272" s="64" t="str">
        <f ca="1">IFERROR(__xludf.DUMMYFUNCTION("""COMPUTED_VALUE"""),"manual, explosion, evolution, area-effect")</f>
        <v>manual, explosion, evolution, area-effect</v>
      </c>
      <c r="R272" s="64" t="str">
        <f ca="1">IFERROR(__xludf.DUMMYFUNCTION("""COMPUTED_VALUE"""),"Vegetable")</f>
        <v>Vegetable</v>
      </c>
      <c r="S272" s="64" t="str">
        <f ca="1">IFERROR(__xludf.DUMMYFUNCTION("""COMPUTED_VALUE"""),"Chinese Sementium")</f>
        <v>Chinese Sementium</v>
      </c>
      <c r="T272" s="64" t="str">
        <f ca="1">IFERROR(__xludf.DUMMYFUNCTION("""COMPUTED_VALUE"""),"None")</f>
        <v>None</v>
      </c>
      <c r="U272" s="64" t="str">
        <f ca="1">IFERROR(__xludf.DUMMYFUNCTION("""COMPUTED_VALUE"""),"None")</f>
        <v>None</v>
      </c>
      <c r="V272" s="64" t="str">
        <f ca="1">IFERROR(__xludf.DUMMYFUNCTION("""COMPUTED_VALUE"""),"---")</f>
        <v>---</v>
      </c>
      <c r="W272" s="64" t="str">
        <f ca="1">IFERROR(__xludf.DUMMYFUNCTION("""COMPUTED_VALUE"""),"Ranged")</f>
        <v>Ranged</v>
      </c>
      <c r="X272" s="64" t="str">
        <f ca="1">IFERROR(__xludf.DUMMYFUNCTION("""COMPUTED_VALUE"""),"PvZ, PvZ 2 Chinease, PvZ Heroes")</f>
        <v>PvZ, PvZ 2 Chinease, PvZ Heroes</v>
      </c>
      <c r="Y272" s="65" t="str">
        <f ca="1">IFERROR(__xludf.DUMMYFUNCTION("""COMPUTED_VALUE"""),"https://static.wikia.nocookie.net/plantsvszombies/images/7/73/Cob_Cannon2C.png/revision/latest?cb=20170128062225")</f>
        <v>https://static.wikia.nocookie.net/plantsvszombies/images/7/73/Cob_Cannon2C.png/revision/latest?cb=20170128062225</v>
      </c>
    </row>
    <row r="273" spans="1:25" x14ac:dyDescent="0.2">
      <c r="A273" s="64">
        <f ca="1">IFERROR(__xludf.DUMMYFUNCTION("""COMPUTED_VALUE"""),69)</f>
        <v>69</v>
      </c>
      <c r="B273" s="64" t="str">
        <f ca="1">IFERROR(__xludf.DUMMYFUNCTION("""COMPUTED_VALUE"""),"White Melon Sumo Wrestler")</f>
        <v>White Melon Sumo Wrestler</v>
      </c>
      <c r="C273" s="64" t="str">
        <f ca="1">IFERROR(__xludf.DUMMYFUNCTION("""COMPUTED_VALUE"""),"Melão branco lutador de sumô ")</f>
        <v xml:space="preserve">Melão branco lutador de sumô </v>
      </c>
      <c r="D273" s="64" t="str">
        <f ca="1">IFERROR(__xludf.DUMMYFUNCTION("""COMPUTED_VALUE"""),"Endurecida")</f>
        <v>Endurecida</v>
      </c>
      <c r="E273" s="64" t="str">
        <f ca="1">IFERROR(__xludf.DUMMYFUNCTION("""COMPUTED_VALUE"""),"White Melon Sumo Wrestler stands still, vigorously repels zombies.")</f>
        <v>White Melon Sumo Wrestler stands still, vigorously repels zombies.</v>
      </c>
      <c r="F273" s="64">
        <f ca="1">IFERROR(__xludf.DUMMYFUNCTION("""COMPUTED_VALUE"""),100)</f>
        <v>100</v>
      </c>
      <c r="G273" s="64">
        <f ca="1">IFERROR(__xludf.DUMMYFUNCTION("""COMPUTED_VALUE"""),4000)</f>
        <v>4000</v>
      </c>
      <c r="H273" s="64">
        <f ca="1">IFERROR(__xludf.DUMMYFUNCTION("""COMPUTED_VALUE"""),30)</f>
        <v>30</v>
      </c>
      <c r="I273" s="64">
        <f ca="1">IFERROR(__xludf.DUMMYFUNCTION("""COMPUTED_VALUE"""),20)</f>
        <v>20</v>
      </c>
      <c r="J273" s="64" t="str">
        <f ca="1">IFERROR(__xludf.DUMMYFUNCTION("""COMPUTED_VALUE"""),"Sumo Melon attracts all zombies in a 2x3 area in front of him, then knocks them all back by 3 tile. Deals a large amount of damage with a 2 second stun.")</f>
        <v>Sumo Melon attracts all zombies in a 2x3 area in front of him, then knocks them all back by 3 tile. Deals a large amount of damage with a 2 second stun.</v>
      </c>
      <c r="K273" s="64" t="str">
        <f ca="1">IFERROR(__xludf.DUMMYFUNCTION("""COMPUTED_VALUE"""),"Attack range 1 tile ahead")</f>
        <v>Attack range 1 tile ahead</v>
      </c>
      <c r="L273" s="64"/>
      <c r="M273" s="64" t="b">
        <f ca="1">IFERROR(__xludf.DUMMYFUNCTION("""COMPUTED_VALUE"""),FALSE)</f>
        <v>0</v>
      </c>
      <c r="N273" s="64" t="b">
        <f ca="1">IFERROR(__xludf.DUMMYFUNCTION("""COMPUTED_VALUE"""),FALSE)</f>
        <v>0</v>
      </c>
      <c r="O273" s="64">
        <f ca="1">IFERROR(__xludf.DUMMYFUNCTION("""COMPUTED_VALUE"""),0)</f>
        <v>0</v>
      </c>
      <c r="P273" s="64" t="str">
        <f ca="1">IFERROR(__xludf.DUMMYFUNCTION("""COMPUTED_VALUE"""),"Legendary")</f>
        <v>Legendary</v>
      </c>
      <c r="Q273" s="64" t="str">
        <f ca="1">IFERROR(__xludf.DUMMYFUNCTION("""COMPUTED_VALUE"""),"control")</f>
        <v>control</v>
      </c>
      <c r="R273" s="64" t="str">
        <f ca="1">IFERROR(__xludf.DUMMYFUNCTION("""COMPUTED_VALUE"""),"Fruit")</f>
        <v>Fruit</v>
      </c>
      <c r="S273" s="64" t="str">
        <f ca="1">IFERROR(__xludf.DUMMYFUNCTION("""COMPUTED_VALUE"""),"Chinese Sementium")</f>
        <v>Chinese Sementium</v>
      </c>
      <c r="T273" s="64" t="str">
        <f ca="1">IFERROR(__xludf.DUMMYFUNCTION("""COMPUTED_VALUE"""),"None")</f>
        <v>None</v>
      </c>
      <c r="U273" s="64" t="str">
        <f ca="1">IFERROR(__xludf.DUMMYFUNCTION("""COMPUTED_VALUE"""),"None")</f>
        <v>None</v>
      </c>
      <c r="V273" s="64" t="str">
        <f ca="1">IFERROR(__xludf.DUMMYFUNCTION("""COMPUTED_VALUE"""),"---")</f>
        <v>---</v>
      </c>
      <c r="W273" s="64" t="str">
        <f ca="1">IFERROR(__xludf.DUMMYFUNCTION("""COMPUTED_VALUE"""),"Tough")</f>
        <v>Tough</v>
      </c>
      <c r="X273" s="64" t="str">
        <f ca="1">IFERROR(__xludf.DUMMYFUNCTION("""COMPUTED_VALUE"""),"PvZ 2 Chinease")</f>
        <v>PvZ 2 Chinease</v>
      </c>
      <c r="Y273" s="65" t="str">
        <f ca="1">IFERROR(__xludf.DUMMYFUNCTION("""COMPUTED_VALUE"""),"https://static.wikia.nocookie.net/plantsvszombies/images/0/0a/White_Melon_Sumo_Wrestler2.png/revision/latest?cb=20170701025441")</f>
        <v>https://static.wikia.nocookie.net/plantsvszombies/images/0/0a/White_Melon_Sumo_Wrestler2.png/revision/latest?cb=20170701025441</v>
      </c>
    </row>
    <row r="274" spans="1:25" x14ac:dyDescent="0.2">
      <c r="A274" s="64">
        <f ca="1">IFERROR(__xludf.DUMMYFUNCTION("""COMPUTED_VALUE"""),70)</f>
        <v>70</v>
      </c>
      <c r="B274" s="64" t="str">
        <f ca="1">IFERROR(__xludf.DUMMYFUNCTION("""COMPUTED_VALUE"""),"Ice Currant")</f>
        <v>Ice Currant</v>
      </c>
      <c r="C274" s="64" t="str">
        <f ca="1">IFERROR(__xludf.DUMMYFUNCTION("""COMPUTED_VALUE"""),"Groselada")</f>
        <v>Groselada</v>
      </c>
      <c r="D274" s="64" t="str">
        <f ca="1">IFERROR(__xludf.DUMMYFUNCTION("""COMPUTED_VALUE"""),"Resfriada")</f>
        <v>Resfriada</v>
      </c>
      <c r="E274" s="64" t="str">
        <f ca="1">IFERROR(__xludf.DUMMYFUNCTION("""COMPUTED_VALUE"""),"Icy Currants between the same line can form ice to freeze zombies.")</f>
        <v>Icy Currants between the same line can form ice to freeze zombies.</v>
      </c>
      <c r="F274" s="64">
        <f ca="1">IFERROR(__xludf.DUMMYFUNCTION("""COMPUTED_VALUE"""),150)</f>
        <v>150</v>
      </c>
      <c r="G274" s="64">
        <f ca="1">IFERROR(__xludf.DUMMYFUNCTION("""COMPUTED_VALUE"""),300)</f>
        <v>300</v>
      </c>
      <c r="H274" s="64">
        <f ca="1">IFERROR(__xludf.DUMMYFUNCTION("""COMPUTED_VALUE"""),30)</f>
        <v>30</v>
      </c>
      <c r="I274" s="64">
        <f ca="1">IFERROR(__xludf.DUMMYFUNCTION("""COMPUTED_VALUE"""),15)</f>
        <v>15</v>
      </c>
      <c r="J274" s="64" t="str">
        <f ca="1">IFERROR(__xludf.DUMMYFUNCTION("""COMPUTED_VALUE"""),"Icy Currant encases an iceberg on itself, making it invincible but unable to attack for 10 seconds.")</f>
        <v>Icy Currant encases an iceberg on itself, making it invincible but unable to attack for 10 seconds.</v>
      </c>
      <c r="K274" s="64"/>
      <c r="L274" s="64" t="str">
        <f ca="1">IFERROR(__xludf.DUMMYFUNCTION("""COMPUTED_VALUE"""),"Special - Two Icy Currants on the same lane or column will form an ice wall")</f>
        <v>Special - Two Icy Currants on the same lane or column will form an ice wall</v>
      </c>
      <c r="M274" s="64" t="b">
        <f ca="1">IFERROR(__xludf.DUMMYFUNCTION("""COMPUTED_VALUE"""),FALSE)</f>
        <v>0</v>
      </c>
      <c r="N274" s="64" t="b">
        <f ca="1">IFERROR(__xludf.DUMMYFUNCTION("""COMPUTED_VALUE"""),FALSE)</f>
        <v>0</v>
      </c>
      <c r="O274" s="64">
        <f ca="1">IFERROR(__xludf.DUMMYFUNCTION("""COMPUTED_VALUE"""),0)</f>
        <v>0</v>
      </c>
      <c r="P274" s="64" t="str">
        <f ca="1">IFERROR(__xludf.DUMMYFUNCTION("""COMPUTED_VALUE"""),"Legendary")</f>
        <v>Legendary</v>
      </c>
      <c r="Q274" s="64" t="str">
        <f ca="1">IFERROR(__xludf.DUMMYFUNCTION("""COMPUTED_VALUE"""),"area-effect, slowing, chilling")</f>
        <v>area-effect, slowing, chilling</v>
      </c>
      <c r="R274" s="64" t="str">
        <f ca="1">IFERROR(__xludf.DUMMYFUNCTION("""COMPUTED_VALUE"""),"Berry")</f>
        <v>Berry</v>
      </c>
      <c r="S274" s="64" t="str">
        <f ca="1">IFERROR(__xludf.DUMMYFUNCTION("""COMPUTED_VALUE"""),"Chinese Sementium")</f>
        <v>Chinese Sementium</v>
      </c>
      <c r="T274" s="64" t="str">
        <f ca="1">IFERROR(__xludf.DUMMYFUNCTION("""COMPUTED_VALUE"""),"None")</f>
        <v>None</v>
      </c>
      <c r="U274" s="64" t="str">
        <f ca="1">IFERROR(__xludf.DUMMYFUNCTION("""COMPUTED_VALUE"""),"None")</f>
        <v>None</v>
      </c>
      <c r="V274" s="64" t="str">
        <f ca="1">IFERROR(__xludf.DUMMYFUNCTION("""COMPUTED_VALUE"""),"---")</f>
        <v>---</v>
      </c>
      <c r="W274" s="64" t="str">
        <f ca="1">IFERROR(__xludf.DUMMYFUNCTION("""COMPUTED_VALUE"""),"Special")</f>
        <v>Special</v>
      </c>
      <c r="X274" s="64" t="str">
        <f ca="1">IFERROR(__xludf.DUMMYFUNCTION("""COMPUTED_VALUE"""),"PvZ 2 Chinease")</f>
        <v>PvZ 2 Chinease</v>
      </c>
      <c r="Y274" s="65" t="str">
        <f ca="1">IFERROR(__xludf.DUMMYFUNCTION("""COMPUTED_VALUE"""),"https://static.wikia.nocookie.net/plantsvszombies/images/f/fb/Icy_Currant2.png/revision/latest?cb=20230226051255")</f>
        <v>https://static.wikia.nocookie.net/plantsvszombies/images/f/fb/Icy_Currant2.png/revision/latest?cb=20230226051255</v>
      </c>
    </row>
    <row r="275" spans="1:25" x14ac:dyDescent="0.2">
      <c r="A275" s="64">
        <f ca="1">IFERROR(__xludf.DUMMYFUNCTION("""COMPUTED_VALUE"""),71)</f>
        <v>71</v>
      </c>
      <c r="B275" s="64" t="str">
        <f ca="1">IFERROR(__xludf.DUMMYFUNCTION("""COMPUTED_VALUE"""),"Tulip Trumpeter")</f>
        <v>Tulip Trumpeter</v>
      </c>
      <c r="C275" s="64" t="str">
        <f ca="1">IFERROR(__xludf.DUMMYFUNCTION("""COMPUTED_VALUE"""),"Tulipa Trompetista")</f>
        <v>Tulipa Trompetista</v>
      </c>
      <c r="D275" s="64" t="str">
        <f ca="1">IFERROR(__xludf.DUMMYFUNCTION("""COMPUTED_VALUE"""),"Dispara")</f>
        <v>Dispara</v>
      </c>
      <c r="E275" s="64" t="str">
        <f ca="1">IFERROR(__xludf.DUMMYFUNCTION("""COMPUTED_VALUE"""),"A plant that can attack at long range, and also heal at close range.")</f>
        <v>A plant that can attack at long range, and also heal at close range.</v>
      </c>
      <c r="F275" s="64">
        <f ca="1">IFERROR(__xludf.DUMMYFUNCTION("""COMPUTED_VALUE"""),225)</f>
        <v>225</v>
      </c>
      <c r="G275" s="64">
        <f ca="1">IFERROR(__xludf.DUMMYFUNCTION("""COMPUTED_VALUE"""),300)</f>
        <v>300</v>
      </c>
      <c r="H275" s="64">
        <f ca="1">IFERROR(__xludf.DUMMYFUNCTION("""COMPUTED_VALUE"""),30)</f>
        <v>30</v>
      </c>
      <c r="I275" s="64">
        <f ca="1">IFERROR(__xludf.DUMMYFUNCTION("""COMPUTED_VALUE"""),10)</f>
        <v>10</v>
      </c>
      <c r="J275" s="64" t="str">
        <f ca="1">IFERROR(__xludf.DUMMYFUNCTION("""COMPUTED_VALUE"""),"Tulip Trumpeter blows the horn of music, damaging zombies in a nearby 3×3 region, recovering 100 health points of all plants.")</f>
        <v>Tulip Trumpeter blows the horn of music, damaging zombies in a nearby 3×3 region, recovering 100 health points of all plants.</v>
      </c>
      <c r="K275" s="64"/>
      <c r="L275" s="64" t="str">
        <f ca="1">IFERROR(__xludf.DUMMYFUNCTION("""COMPUTED_VALUE"""),"Special - In offensive state when zombies aren't too close, otherwise switches to healing state for all your offensive and defensive needs.")</f>
        <v>Special - In offensive state when zombies aren't too close, otherwise switches to healing state for all your offensive and defensive needs.</v>
      </c>
      <c r="M275" s="64" t="b">
        <f ca="1">IFERROR(__xludf.DUMMYFUNCTION("""COMPUTED_VALUE"""),FALSE)</f>
        <v>0</v>
      </c>
      <c r="N275" s="64" t="b">
        <f ca="1">IFERROR(__xludf.DUMMYFUNCTION("""COMPUTED_VALUE"""),FALSE)</f>
        <v>0</v>
      </c>
      <c r="O275" s="64">
        <f ca="1">IFERROR(__xludf.DUMMYFUNCTION("""COMPUTED_VALUE"""),0)</f>
        <v>0</v>
      </c>
      <c r="P275" s="64" t="str">
        <f ca="1">IFERROR(__xludf.DUMMYFUNCTION("""COMPUTED_VALUE"""),"Legendary")</f>
        <v>Legendary</v>
      </c>
      <c r="Q275" s="64" t="str">
        <f ca="1">IFERROR(__xludf.DUMMYFUNCTION("""COMPUTED_VALUE"""),"orchestra, healing")</f>
        <v>orchestra, healing</v>
      </c>
      <c r="R275" s="64" t="str">
        <f ca="1">IFERROR(__xludf.DUMMYFUNCTION("""COMPUTED_VALUE"""),"Flower")</f>
        <v>Flower</v>
      </c>
      <c r="S275" s="64" t="str">
        <f ca="1">IFERROR(__xludf.DUMMYFUNCTION("""COMPUTED_VALUE"""),"Chinese Sementium")</f>
        <v>Chinese Sementium</v>
      </c>
      <c r="T275" s="64" t="str">
        <f ca="1">IFERROR(__xludf.DUMMYFUNCTION("""COMPUTED_VALUE"""),"None")</f>
        <v>None</v>
      </c>
      <c r="U275" s="64" t="str">
        <f ca="1">IFERROR(__xludf.DUMMYFUNCTION("""COMPUTED_VALUE"""),"None")</f>
        <v>None</v>
      </c>
      <c r="V275" s="64" t="str">
        <f ca="1">IFERROR(__xludf.DUMMYFUNCTION("""COMPUTED_VALUE"""),"---")</f>
        <v>---</v>
      </c>
      <c r="W275" s="64" t="str">
        <f ca="1">IFERROR(__xludf.DUMMYFUNCTION("""COMPUTED_VALUE"""),"Ranged")</f>
        <v>Ranged</v>
      </c>
      <c r="X275" s="64" t="str">
        <f ca="1">IFERROR(__xludf.DUMMYFUNCTION("""COMPUTED_VALUE"""),"PvZ 2 Chinease")</f>
        <v>PvZ 2 Chinease</v>
      </c>
      <c r="Y275" s="65" t="str">
        <f ca="1">IFERROR(__xludf.DUMMYFUNCTION("""COMPUTED_VALUE"""),"https://static.wikia.nocookie.net/plantsvszombies/images/5/54/Tulip_Trumpeter2.png/revision/latest?cb=20180330233219")</f>
        <v>https://static.wikia.nocookie.net/plantsvszombies/images/5/54/Tulip_Trumpeter2.png/revision/latest?cb=20180330233219</v>
      </c>
    </row>
    <row r="276" spans="1:25" x14ac:dyDescent="0.2">
      <c r="A276" s="64">
        <f ca="1">IFERROR(__xludf.DUMMYFUNCTION("""COMPUTED_VALUE"""),72)</f>
        <v>72</v>
      </c>
      <c r="B276" s="64" t="str">
        <f ca="1">IFERROR(__xludf.DUMMYFUNCTION("""COMPUTED_VALUE"""),"Eggplant Ninja")</f>
        <v>Eggplant Ninja</v>
      </c>
      <c r="C276" s="64" t="str">
        <f ca="1">IFERROR(__xludf.DUMMYFUNCTION("""COMPUTED_VALUE"""),"Beringela Ninja")</f>
        <v>Beringela Ninja</v>
      </c>
      <c r="D276" s="64" t="str">
        <f ca="1">IFERROR(__xludf.DUMMYFUNCTION("""COMPUTED_VALUE"""),"Perfura")</f>
        <v>Perfura</v>
      </c>
      <c r="E276" s="64" t="str">
        <f ca="1">IFERROR(__xludf.DUMMYFUNCTION("""COMPUTED_VALUE"""),"Can use ninja stars to deal damage to zombies in its arc attack range.")</f>
        <v>Can use ninja stars to deal damage to zombies in its arc attack range.</v>
      </c>
      <c r="F276" s="64">
        <f ca="1">IFERROR(__xludf.DUMMYFUNCTION("""COMPUTED_VALUE"""),200)</f>
        <v>200</v>
      </c>
      <c r="G276" s="64">
        <f ca="1">IFERROR(__xludf.DUMMYFUNCTION("""COMPUTED_VALUE"""),300)</f>
        <v>300</v>
      </c>
      <c r="H276" s="64">
        <f ca="1">IFERROR(__xludf.DUMMYFUNCTION("""COMPUTED_VALUE"""),30)</f>
        <v>30</v>
      </c>
      <c r="I276" s="64">
        <f ca="1">IFERROR(__xludf.DUMMYFUNCTION("""COMPUTED_VALUE"""),10)</f>
        <v>10</v>
      </c>
      <c r="J276" s="64" t="str">
        <f ca="1">IFERROR(__xludf.DUMMYFUNCTION("""COMPUTED_VALUE"""),"Eggplant Ninja multiplies the ninja stars, firing 5 ninja stars to the right in arcs, eventually returning to Eggplant Ninja, dealing damage to all zombies they passed through.")</f>
        <v>Eggplant Ninja multiplies the ninja stars, firing 5 ninja stars to the right in arcs, eventually returning to Eggplant Ninja, dealing damage to all zombies they passed through.</v>
      </c>
      <c r="K276" s="64"/>
      <c r="L276" s="64"/>
      <c r="M276" s="64" t="b">
        <f ca="1">IFERROR(__xludf.DUMMYFUNCTION("""COMPUTED_VALUE"""),FALSE)</f>
        <v>0</v>
      </c>
      <c r="N276" s="64" t="b">
        <f ca="1">IFERROR(__xludf.DUMMYFUNCTION("""COMPUTED_VALUE"""),FALSE)</f>
        <v>0</v>
      </c>
      <c r="O276" s="64">
        <f ca="1">IFERROR(__xludf.DUMMYFUNCTION("""COMPUTED_VALUE"""),0)</f>
        <v>0</v>
      </c>
      <c r="P276" s="64" t="str">
        <f ca="1">IFERROR(__xludf.DUMMYFUNCTION("""COMPUTED_VALUE"""),"Legendary")</f>
        <v>Legendary</v>
      </c>
      <c r="Q276" s="64" t="str">
        <f ca="1">IFERROR(__xludf.DUMMYFUNCTION("""COMPUTED_VALUE"""),"area-effect")</f>
        <v>area-effect</v>
      </c>
      <c r="R276" s="64" t="str">
        <f ca="1">IFERROR(__xludf.DUMMYFUNCTION("""COMPUTED_VALUE"""),"Vegetable")</f>
        <v>Vegetable</v>
      </c>
      <c r="S276" s="64" t="str">
        <f ca="1">IFERROR(__xludf.DUMMYFUNCTION("""COMPUTED_VALUE"""),"Chinese Sementium")</f>
        <v>Chinese Sementium</v>
      </c>
      <c r="T276" s="64" t="str">
        <f ca="1">IFERROR(__xludf.DUMMYFUNCTION("""COMPUTED_VALUE"""),"None")</f>
        <v>None</v>
      </c>
      <c r="U276" s="64" t="str">
        <f ca="1">IFERROR(__xludf.DUMMYFUNCTION("""COMPUTED_VALUE"""),"None")</f>
        <v>None</v>
      </c>
      <c r="V276" s="64" t="str">
        <f ca="1">IFERROR(__xludf.DUMMYFUNCTION("""COMPUTED_VALUE"""),"---")</f>
        <v>---</v>
      </c>
      <c r="W276" s="64" t="str">
        <f ca="1">IFERROR(__xludf.DUMMYFUNCTION("""COMPUTED_VALUE"""),"Ranged")</f>
        <v>Ranged</v>
      </c>
      <c r="X276" s="64" t="str">
        <f ca="1">IFERROR(__xludf.DUMMYFUNCTION("""COMPUTED_VALUE"""),"PvZ 2 Chinease")</f>
        <v>PvZ 2 Chinease</v>
      </c>
      <c r="Y276" s="65" t="str">
        <f ca="1">IFERROR(__xludf.DUMMYFUNCTION("""COMPUTED_VALUE"""),"https://static.wikia.nocookie.net/plantsvszombies/images/5/55/Eggplant_Ninja2.png/revision/latest?cb=20230226051118")</f>
        <v>https://static.wikia.nocookie.net/plantsvszombies/images/5/55/Eggplant_Ninja2.png/revision/latest?cb=20230226051118</v>
      </c>
    </row>
    <row r="277" spans="1:25" x14ac:dyDescent="0.2">
      <c r="A277" s="64">
        <f ca="1">IFERROR(__xludf.DUMMYFUNCTION("""COMPUTED_VALUE"""),73)</f>
        <v>73</v>
      </c>
      <c r="B277" s="64" t="str">
        <f ca="1">IFERROR(__xludf.DUMMYFUNCTION("""COMPUTED_VALUE"""),"Banana Dancer")</f>
        <v>Banana Dancer</v>
      </c>
      <c r="C277" s="64" t="str">
        <f ca="1">IFERROR(__xludf.DUMMYFUNCTION("""COMPUTED_VALUE"""),"Bananeira Dançarina")</f>
        <v>Bananeira Dançarina</v>
      </c>
      <c r="D277" s="64" t="str">
        <f ca="1">IFERROR(__xludf.DUMMYFUNCTION("""COMPUTED_VALUE"""),"Dispara")</f>
        <v>Dispara</v>
      </c>
      <c r="E277" s="64" t="str">
        <f ca="1">IFERROR(__xludf.DUMMYFUNCTION("""COMPUTED_VALUE"""),"Banana Dancer shoots tornadoes dealing damage to zombies or pushing them back.")</f>
        <v>Banana Dancer shoots tornadoes dealing damage to zombies or pushing them back.</v>
      </c>
      <c r="F277" s="64">
        <f ca="1">IFERROR(__xludf.DUMMYFUNCTION("""COMPUTED_VALUE"""),375)</f>
        <v>375</v>
      </c>
      <c r="G277" s="64">
        <f ca="1">IFERROR(__xludf.DUMMYFUNCTION("""COMPUTED_VALUE"""),300)</f>
        <v>300</v>
      </c>
      <c r="H277" s="64">
        <f ca="1">IFERROR(__xludf.DUMMYFUNCTION("""COMPUTED_VALUE"""),1200)</f>
        <v>1200</v>
      </c>
      <c r="I277" s="64">
        <f ca="1">IFERROR(__xludf.DUMMYFUNCTION("""COMPUTED_VALUE"""),10)</f>
        <v>10</v>
      </c>
      <c r="J277" s="64" t="str">
        <f ca="1">IFERROR(__xludf.DUMMYFUNCTION("""COMPUTED_VALUE"""),"Banana Dancer forcefully waves the fans, creating a huge whirlwind. It stops in place after hitting a target, pulling and dealing damage to small-sized zombies in a nearby 3×3 region, lasting for 5 seconds.")</f>
        <v>Banana Dancer forcefully waves the fans, creating a huge whirlwind. It stops in place after hitting a target, pulling and dealing damage to small-sized zombies in a nearby 3×3 region, lasting for 5 seconds.</v>
      </c>
      <c r="K277" s="64" t="str">
        <f ca="1">IFERROR(__xludf.DUMMYFUNCTION("""COMPUTED_VALUE"""),"Attacks every 15 seconds")</f>
        <v>Attacks every 15 seconds</v>
      </c>
      <c r="L277" s="64" t="str">
        <f ca="1">IFERROR(__xludf.DUMMYFUNCTION("""COMPUTED_VALUE"""),"Special - Can push zombies back to the last tile.")</f>
        <v>Special - Can push zombies back to the last tile.</v>
      </c>
      <c r="M277" s="64" t="b">
        <f ca="1">IFERROR(__xludf.DUMMYFUNCTION("""COMPUTED_VALUE"""),FALSE)</f>
        <v>0</v>
      </c>
      <c r="N277" s="64" t="b">
        <f ca="1">IFERROR(__xludf.DUMMYFUNCTION("""COMPUTED_VALUE"""),FALSE)</f>
        <v>0</v>
      </c>
      <c r="O277" s="64">
        <f ca="1">IFERROR(__xludf.DUMMYFUNCTION("""COMPUTED_VALUE"""),0)</f>
        <v>0</v>
      </c>
      <c r="P277" s="64" t="str">
        <f ca="1">IFERROR(__xludf.DUMMYFUNCTION("""COMPUTED_VALUE"""),"Epic")</f>
        <v>Epic</v>
      </c>
      <c r="Q277" s="64" t="str">
        <f ca="1">IFERROR(__xludf.DUMMYFUNCTION("""COMPUTED_VALUE"""),"orchestra, control, tornado")</f>
        <v>orchestra, control, tornado</v>
      </c>
      <c r="R277" s="64" t="str">
        <f ca="1">IFERROR(__xludf.DUMMYFUNCTION("""COMPUTED_VALUE"""),"Wood")</f>
        <v>Wood</v>
      </c>
      <c r="S277" s="64" t="str">
        <f ca="1">IFERROR(__xludf.DUMMYFUNCTION("""COMPUTED_VALUE"""),"Chinese Sementium")</f>
        <v>Chinese Sementium</v>
      </c>
      <c r="T277" s="64" t="str">
        <f ca="1">IFERROR(__xludf.DUMMYFUNCTION("""COMPUTED_VALUE"""),"None")</f>
        <v>None</v>
      </c>
      <c r="U277" s="64" t="str">
        <f ca="1">IFERROR(__xludf.DUMMYFUNCTION("""COMPUTED_VALUE"""),"None")</f>
        <v>None</v>
      </c>
      <c r="V277" s="64" t="str">
        <f ca="1">IFERROR(__xludf.DUMMYFUNCTION("""COMPUTED_VALUE"""),"---")</f>
        <v>---</v>
      </c>
      <c r="W277" s="64" t="str">
        <f ca="1">IFERROR(__xludf.DUMMYFUNCTION("""COMPUTED_VALUE"""),"Ranged")</f>
        <v>Ranged</v>
      </c>
      <c r="X277" s="64" t="str">
        <f ca="1">IFERROR(__xludf.DUMMYFUNCTION("""COMPUTED_VALUE"""),"PvZ 2 Chinease")</f>
        <v>PvZ 2 Chinease</v>
      </c>
      <c r="Y277" s="65" t="str">
        <f ca="1">IFERROR(__xludf.DUMMYFUNCTION("""COMPUTED_VALUE"""),"https://static.wikia.nocookie.net/plantsvszombies/images/7/73/Banana_Dancer2.png/revision/latest?cb=20200519051649")</f>
        <v>https://static.wikia.nocookie.net/plantsvszombies/images/7/73/Banana_Dancer2.png/revision/latest?cb=20200519051649</v>
      </c>
    </row>
    <row r="278" spans="1:25" x14ac:dyDescent="0.2">
      <c r="A278" s="64">
        <f ca="1">IFERROR(__xludf.DUMMYFUNCTION("""COMPUTED_VALUE"""),74)</f>
        <v>74</v>
      </c>
      <c r="B278" s="64" t="str">
        <f ca="1">IFERROR(__xludf.DUMMYFUNCTION("""COMPUTED_VALUE"""),"Dual Pistol Pinecone")</f>
        <v>Dual Pistol Pinecone</v>
      </c>
      <c r="C278" s="64" t="str">
        <f ca="1">IFERROR(__xludf.DUMMYFUNCTION("""COMPUTED_VALUE"""),"Pinha Pistola Dupla")</f>
        <v>Pinha Pistola Dupla</v>
      </c>
      <c r="D278" s="64" t="str">
        <f ca="1">IFERROR(__xludf.DUMMYFUNCTION("""COMPUTED_VALUE"""),"Dispara")</f>
        <v>Dispara</v>
      </c>
      <c r="E278" s="64" t="str">
        <f ca="1">IFERROR(__xludf.DUMMYFUNCTION("""COMPUTED_VALUE"""),"After defeating a zombie, releases a special attack.")</f>
        <v>After defeating a zombie, releases a special attack.</v>
      </c>
      <c r="F278" s="64">
        <f ca="1">IFERROR(__xludf.DUMMYFUNCTION("""COMPUTED_VALUE"""),175)</f>
        <v>175</v>
      </c>
      <c r="G278" s="64">
        <f ca="1">IFERROR(__xludf.DUMMYFUNCTION("""COMPUTED_VALUE"""),300)</f>
        <v>300</v>
      </c>
      <c r="H278" s="64">
        <f ca="1">IFERROR(__xludf.DUMMYFUNCTION("""COMPUTED_VALUE"""),140)</f>
        <v>140</v>
      </c>
      <c r="I278" s="64">
        <f ca="1">IFERROR(__xludf.DUMMYFUNCTION("""COMPUTED_VALUE"""),15)</f>
        <v>15</v>
      </c>
      <c r="J278" s="64" t="str">
        <f ca="1">IFERROR(__xludf.DUMMYFUNCTION("""COMPUTED_VALUE"""),"Dual Pistol Pinecone enters sharpshooter mode, consecutively firing 6 zombie-seeking flaming pinecones, dealing splash damage in a small area.")</f>
        <v>Dual Pistol Pinecone enters sharpshooter mode, consecutively firing 6 zombie-seeking flaming pinecones, dealing splash damage in a small area.</v>
      </c>
      <c r="K278" s="64"/>
      <c r="L278" s="64" t="str">
        <f ca="1">IFERROR(__xludf.DUMMYFUNCTION("""COMPUTED_VALUE"""),"Special - After killing a zombie, shoots a stronger projectile that knocks the zombie it hits back.")</f>
        <v>Special - After killing a zombie, shoots a stronger projectile that knocks the zombie it hits back.</v>
      </c>
      <c r="M278" s="64" t="b">
        <f ca="1">IFERROR(__xludf.DUMMYFUNCTION("""COMPUTED_VALUE"""),FALSE)</f>
        <v>0</v>
      </c>
      <c r="N278" s="64" t="b">
        <f ca="1">IFERROR(__xludf.DUMMYFUNCTION("""COMPUTED_VALUE"""),FALSE)</f>
        <v>0</v>
      </c>
      <c r="O278" s="64">
        <f ca="1">IFERROR(__xludf.DUMMYFUNCTION("""COMPUTED_VALUE"""),0)</f>
        <v>0</v>
      </c>
      <c r="P278" s="64" t="str">
        <f ca="1">IFERROR(__xludf.DUMMYFUNCTION("""COMPUTED_VALUE"""),"Legendary")</f>
        <v>Legendary</v>
      </c>
      <c r="Q278" s="64" t="str">
        <f ca="1">IFERROR(__xludf.DUMMYFUNCTION("""COMPUTED_VALUE"""),"area-effect")</f>
        <v>area-effect</v>
      </c>
      <c r="R278" s="64" t="str">
        <f ca="1">IFERROR(__xludf.DUMMYFUNCTION("""COMPUTED_VALUE"""),"Nut")</f>
        <v>Nut</v>
      </c>
      <c r="S278" s="64" t="str">
        <f ca="1">IFERROR(__xludf.DUMMYFUNCTION("""COMPUTED_VALUE"""),"Chinese Sementium")</f>
        <v>Chinese Sementium</v>
      </c>
      <c r="T278" s="64" t="str">
        <f ca="1">IFERROR(__xludf.DUMMYFUNCTION("""COMPUTED_VALUE"""),"None")</f>
        <v>None</v>
      </c>
      <c r="U278" s="64" t="str">
        <f ca="1">IFERROR(__xludf.DUMMYFUNCTION("""COMPUTED_VALUE"""),"None")</f>
        <v>None</v>
      </c>
      <c r="V278" s="64" t="str">
        <f ca="1">IFERROR(__xludf.DUMMYFUNCTION("""COMPUTED_VALUE"""),"---")</f>
        <v>---</v>
      </c>
      <c r="W278" s="64" t="str">
        <f ca="1">IFERROR(__xludf.DUMMYFUNCTION("""COMPUTED_VALUE"""),"Ranged")</f>
        <v>Ranged</v>
      </c>
      <c r="X278" s="64" t="str">
        <f ca="1">IFERROR(__xludf.DUMMYFUNCTION("""COMPUTED_VALUE"""),"PvZ 2 Chinease")</f>
        <v>PvZ 2 Chinease</v>
      </c>
      <c r="Y278" s="65" t="str">
        <f ca="1">IFERROR(__xludf.DUMMYFUNCTION("""COMPUTED_VALUE"""),"https://static.wikia.nocookie.net/plantsvszombies/images/5/5b/Dual_Pistol_Pinecone2.png/revision/latest?cb=20221216013432")</f>
        <v>https://static.wikia.nocookie.net/plantsvszombies/images/5/5b/Dual_Pistol_Pinecone2.png/revision/latest?cb=20221216013432</v>
      </c>
    </row>
    <row r="279" spans="1:25" x14ac:dyDescent="0.2">
      <c r="A279" s="64">
        <f ca="1">IFERROR(__xludf.DUMMYFUNCTION("""COMPUTED_VALUE"""),75)</f>
        <v>75</v>
      </c>
      <c r="B279" s="64" t="str">
        <f ca="1">IFERROR(__xludf.DUMMYFUNCTION("""COMPUTED_VALUE"""),"Narcissus Shooter")</f>
        <v>Narcissus Shooter</v>
      </c>
      <c r="C279" s="64" t="str">
        <f ca="1">IFERROR(__xludf.DUMMYFUNCTION("""COMPUTED_VALUE"""),"Narcisatirador")</f>
        <v>Narcisatirador</v>
      </c>
      <c r="D279" s="64" t="str">
        <f ca="1">IFERROR(__xludf.DUMMYFUNCTION("""COMPUTED_VALUE"""),"Refrea")</f>
        <v>Refrea</v>
      </c>
      <c r="E279" s="64" t="str">
        <f ca="1">IFERROR(__xludf.DUMMYFUNCTION("""COMPUTED_VALUE"""),"Narcissus Shooter spits a large numbers of bubbles within a certain angle forwards. These bubbles also have a chance to spawn bubbles on zombies' headwear.")</f>
        <v>Narcissus Shooter spits a large numbers of bubbles within a certain angle forwards. These bubbles also have a chance to spawn bubbles on zombies' headwear.</v>
      </c>
      <c r="F279" s="64">
        <f ca="1">IFERROR(__xludf.DUMMYFUNCTION("""COMPUTED_VALUE"""),300)</f>
        <v>300</v>
      </c>
      <c r="G279" s="64">
        <f ca="1">IFERROR(__xludf.DUMMYFUNCTION("""COMPUTED_VALUE"""),300)</f>
        <v>300</v>
      </c>
      <c r="H279" s="64">
        <f ca="1">IFERROR(__xludf.DUMMYFUNCTION("""COMPUTED_VALUE"""),30)</f>
        <v>30</v>
      </c>
      <c r="I279" s="64">
        <f ca="1">IFERROR(__xludf.DUMMYFUNCTION("""COMPUTED_VALUE"""),15)</f>
        <v>15</v>
      </c>
      <c r="J279" s="64" t="str">
        <f ca="1">IFERROR(__xludf.DUMMYFUNCTION("""COMPUTED_VALUE"""),"She will spit many bubbles across the lawn that can also remove armor and take aways imps.")</f>
        <v>She will spit many bubbles across the lawn that can also remove armor and take aways imps.</v>
      </c>
      <c r="K279" s="64"/>
      <c r="L279" s="64" t="str">
        <f ca="1">IFERROR(__xludf.DUMMYFUNCTION("""COMPUTED_VALUE"""),"Special - Big bubbles can carry away zombies armor and Imp zombies")</f>
        <v>Special - Big bubbles can carry away zombies armor and Imp zombies</v>
      </c>
      <c r="M279" s="64" t="b">
        <f ca="1">IFERROR(__xludf.DUMMYFUNCTION("""COMPUTED_VALUE"""),FALSE)</f>
        <v>0</v>
      </c>
      <c r="N279" s="64" t="b">
        <f ca="1">IFERROR(__xludf.DUMMYFUNCTION("""COMPUTED_VALUE"""),FALSE)</f>
        <v>0</v>
      </c>
      <c r="O279" s="64">
        <f ca="1">IFERROR(__xludf.DUMMYFUNCTION("""COMPUTED_VALUE"""),0)</f>
        <v>0</v>
      </c>
      <c r="P279" s="64" t="str">
        <f ca="1">IFERROR(__xludf.DUMMYFUNCTION("""COMPUTED_VALUE"""),"Epic")</f>
        <v>Epic</v>
      </c>
      <c r="Q279" s="64" t="str">
        <f ca="1">IFERROR(__xludf.DUMMYFUNCTION("""COMPUTED_VALUE"""),"control, area-effect")</f>
        <v>control, area-effect</v>
      </c>
      <c r="R279" s="64" t="str">
        <f ca="1">IFERROR(__xludf.DUMMYFUNCTION("""COMPUTED_VALUE"""),"Flower")</f>
        <v>Flower</v>
      </c>
      <c r="S279" s="64" t="str">
        <f ca="1">IFERROR(__xludf.DUMMYFUNCTION("""COMPUTED_VALUE"""),"Chinese Sementium")</f>
        <v>Chinese Sementium</v>
      </c>
      <c r="T279" s="64" t="str">
        <f ca="1">IFERROR(__xludf.DUMMYFUNCTION("""COMPUTED_VALUE"""),"None")</f>
        <v>None</v>
      </c>
      <c r="U279" s="64" t="str">
        <f ca="1">IFERROR(__xludf.DUMMYFUNCTION("""COMPUTED_VALUE"""),"None")</f>
        <v>None</v>
      </c>
      <c r="V279" s="64" t="str">
        <f ca="1">IFERROR(__xludf.DUMMYFUNCTION("""COMPUTED_VALUE"""),"---")</f>
        <v>---</v>
      </c>
      <c r="W279" s="64" t="str">
        <f ca="1">IFERROR(__xludf.DUMMYFUNCTION("""COMPUTED_VALUE"""),"Vanguard")</f>
        <v>Vanguard</v>
      </c>
      <c r="X279" s="64" t="str">
        <f ca="1">IFERROR(__xludf.DUMMYFUNCTION("""COMPUTED_VALUE"""),"PvZ 2 Chinease")</f>
        <v>PvZ 2 Chinease</v>
      </c>
      <c r="Y279" s="65" t="str">
        <f ca="1">IFERROR(__xludf.DUMMYFUNCTION("""COMPUTED_VALUE"""),"https://static.wikia.nocookie.net/plantsvszombies/images/a/a0/Narcissus_Shooter2.png/revision/latest?cb=20181202123451")</f>
        <v>https://static.wikia.nocookie.net/plantsvszombies/images/a/a0/Narcissus_Shooter2.png/revision/latest?cb=20181202123451</v>
      </c>
    </row>
    <row r="280" spans="1:25" x14ac:dyDescent="0.2">
      <c r="A280" s="64">
        <f ca="1">IFERROR(__xludf.DUMMYFUNCTION("""COMPUTED_VALUE"""),76)</f>
        <v>76</v>
      </c>
      <c r="B280" s="64" t="str">
        <f ca="1">IFERROR(__xludf.DUMMYFUNCTION("""COMPUTED_VALUE"""),"Alarm Arrowhead")</f>
        <v>Alarm Arrowhead</v>
      </c>
      <c r="C280" s="64" t="str">
        <f ca="1">IFERROR(__xludf.DUMMYFUNCTION("""COMPUTED_VALUE"""),"Singônio Alarmado")</f>
        <v>Singônio Alarmado</v>
      </c>
      <c r="D280" s="64" t="str">
        <f ca="1">IFERROR(__xludf.DUMMYFUNCTION("""COMPUTED_VALUE"""),"Bombarda")</f>
        <v>Bombarda</v>
      </c>
      <c r="E280" s="64" t="str">
        <f ca="1">IFERROR(__xludf.DUMMYFUNCTION("""COMPUTED_VALUE"""),"Alarm Explosive Arrowhead deals heavy damage to zombies while at the same time disabling machines")</f>
        <v>Alarm Explosive Arrowhead deals heavy damage to zombies while at the same time disabling machines</v>
      </c>
      <c r="F280" s="64">
        <f ca="1">IFERROR(__xludf.DUMMYFUNCTION("""COMPUTED_VALUE"""),100)</f>
        <v>100</v>
      </c>
      <c r="G280" s="64">
        <f ca="1">IFERROR(__xludf.DUMMYFUNCTION("""COMPUTED_VALUE"""),300)</f>
        <v>300</v>
      </c>
      <c r="H280" s="64">
        <f ca="1">IFERROR(__xludf.DUMMYFUNCTION("""COMPUTED_VALUE"""),2000)</f>
        <v>2000</v>
      </c>
      <c r="I280" s="64">
        <f ca="1">IFERROR(__xludf.DUMMYFUNCTION("""COMPUTED_VALUE"""),30)</f>
        <v>30</v>
      </c>
      <c r="J280" s="64" t="str">
        <f ca="1">IFERROR(__xludf.DUMMYFUNCTION("""COMPUTED_VALUE"""),"Alarm Explosive Arrowhead triggers an alarm, summoning a railgun shot from above, damaging zombies on the 2 tiles nearby and stunning zombies for 2 seconds.")</f>
        <v>Alarm Explosive Arrowhead triggers an alarm, summoning a railgun shot from above, damaging zombies on the 2 tiles nearby and stunning zombies for 2 seconds.</v>
      </c>
      <c r="K280" s="64" t="str">
        <f ca="1">IFERROR(__xludf.DUMMYFUNCTION("""COMPUTED_VALUE"""),"When straight to another Alarm Arrowhead, it creates a line, the zombie that crosses it is attacked by one of the plants.")</f>
        <v>When straight to another Alarm Arrowhead, it creates a line, the zombie that crosses it is attacked by one of the plants.</v>
      </c>
      <c r="L280" s="64"/>
      <c r="M280" s="64" t="b">
        <f ca="1">IFERROR(__xludf.DUMMYFUNCTION("""COMPUTED_VALUE"""),TRUE)</f>
        <v>1</v>
      </c>
      <c r="N280" s="64" t="b">
        <f ca="1">IFERROR(__xludf.DUMMYFUNCTION("""COMPUTED_VALUE"""),FALSE)</f>
        <v>0</v>
      </c>
      <c r="O280" s="64">
        <f ca="1">IFERROR(__xludf.DUMMYFUNCTION("""COMPUTED_VALUE"""),0)</f>
        <v>0</v>
      </c>
      <c r="P280" s="64" t="str">
        <f ca="1">IFERROR(__xludf.DUMMYFUNCTION("""COMPUTED_VALUE"""),"Legendary")</f>
        <v>Legendary</v>
      </c>
      <c r="Q280" s="64" t="str">
        <f ca="1">IFERROR(__xludf.DUMMYFUNCTION("""COMPUTED_VALUE"""),"area-effect, control")</f>
        <v>area-effect, control</v>
      </c>
      <c r="R280" s="64" t="str">
        <f ca="1">IFERROR(__xludf.DUMMYFUNCTION("""COMPUTED_VALUE"""),"Leaf")</f>
        <v>Leaf</v>
      </c>
      <c r="S280" s="64" t="str">
        <f ca="1">IFERROR(__xludf.DUMMYFUNCTION("""COMPUTED_VALUE"""),"Chinese Sementium")</f>
        <v>Chinese Sementium</v>
      </c>
      <c r="T280" s="64" t="str">
        <f ca="1">IFERROR(__xludf.DUMMYFUNCTION("""COMPUTED_VALUE"""),"None")</f>
        <v>None</v>
      </c>
      <c r="U280" s="64" t="str">
        <f ca="1">IFERROR(__xludf.DUMMYFUNCTION("""COMPUTED_VALUE"""),"None")</f>
        <v>None</v>
      </c>
      <c r="V280" s="64" t="str">
        <f ca="1">IFERROR(__xludf.DUMMYFUNCTION("""COMPUTED_VALUE"""),"---")</f>
        <v>---</v>
      </c>
      <c r="W280" s="64" t="str">
        <f ca="1">IFERROR(__xludf.DUMMYFUNCTION("""COMPUTED_VALUE"""),"Special")</f>
        <v>Special</v>
      </c>
      <c r="X280" s="64" t="str">
        <f ca="1">IFERROR(__xludf.DUMMYFUNCTION("""COMPUTED_VALUE"""),"PvZ 2 Chinease")</f>
        <v>PvZ 2 Chinease</v>
      </c>
      <c r="Y280" s="65" t="str">
        <f ca="1">IFERROR(__xludf.DUMMYFUNCTION("""COMPUTED_VALUE"""),"https://static.wikia.nocookie.net/plantsvszombies/images/0/0f/Alarm_Explosive_Arrowhead2.png/revision/latest?cb=20190131143929")</f>
        <v>https://static.wikia.nocookie.net/plantsvszombies/images/0/0f/Alarm_Explosive_Arrowhead2.png/revision/latest?cb=20190131143929</v>
      </c>
    </row>
    <row r="281" spans="1:25" x14ac:dyDescent="0.2">
      <c r="A281" s="64">
        <f ca="1">IFERROR(__xludf.DUMMYFUNCTION("""COMPUTED_VALUE"""),77)</f>
        <v>77</v>
      </c>
      <c r="B281" s="64" t="str">
        <f ca="1">IFERROR(__xludf.DUMMYFUNCTION("""COMPUTED_VALUE"""),"Crystal Orchid")</f>
        <v>Crystal Orchid</v>
      </c>
      <c r="C281" s="64" t="str">
        <f ca="1">IFERROR(__xludf.DUMMYFUNCTION("""COMPUTED_VALUE"""),"Orquidea Cristalina")</f>
        <v>Orquidea Cristalina</v>
      </c>
      <c r="D281" s="64" t="str">
        <f ca="1">IFERROR(__xludf.DUMMYFUNCTION("""COMPUTED_VALUE"""),"Resfriada")</f>
        <v>Resfriada</v>
      </c>
      <c r="E281" s="64" t="str">
        <f ca="1">IFERROR(__xludf.DUMMYFUNCTION("""COMPUTED_VALUE"""),"The controller of ice and snow, likes to turn enemies into snowmen.")</f>
        <v>The controller of ice and snow, likes to turn enemies into snowmen.</v>
      </c>
      <c r="F281" s="64">
        <f ca="1">IFERROR(__xludf.DUMMYFUNCTION("""COMPUTED_VALUE"""),200)</f>
        <v>200</v>
      </c>
      <c r="G281" s="64">
        <f ca="1">IFERROR(__xludf.DUMMYFUNCTION("""COMPUTED_VALUE"""),300)</f>
        <v>300</v>
      </c>
      <c r="H281" s="64">
        <f ca="1">IFERROR(__xludf.DUMMYFUNCTION("""COMPUTED_VALUE"""),60)</f>
        <v>60</v>
      </c>
      <c r="I281" s="64">
        <f ca="1">IFERROR(__xludf.DUMMYFUNCTION("""COMPUTED_VALUE"""),10)</f>
        <v>10</v>
      </c>
      <c r="J281" s="64" t="str">
        <f ca="1">IFERROR(__xludf.DUMMYFUNCTION("""COMPUTED_VALUE"""),"Crystal Orchid unleashes strong freezing wind, creating a snow, damaging zombies and turning at most 1 zombie from each tile into snowmen.")</f>
        <v>Crystal Orchid unleashes strong freezing wind, creating a snow, damaging zombies and turning at most 1 zombie from each tile into snowmen.</v>
      </c>
      <c r="K281" s="64" t="str">
        <f ca="1">IFERROR(__xludf.DUMMYFUNCTION("""COMPUTED_VALUE"""),"Attack range 3 tiles to right")</f>
        <v>Attack range 3 tiles to right</v>
      </c>
      <c r="L281" s="64"/>
      <c r="M281" s="64" t="b">
        <f ca="1">IFERROR(__xludf.DUMMYFUNCTION("""COMPUTED_VALUE"""),FALSE)</f>
        <v>0</v>
      </c>
      <c r="N281" s="64" t="b">
        <f ca="1">IFERROR(__xludf.DUMMYFUNCTION("""COMPUTED_VALUE"""),FALSE)</f>
        <v>0</v>
      </c>
      <c r="O281" s="64">
        <f ca="1">IFERROR(__xludf.DUMMYFUNCTION("""COMPUTED_VALUE"""),0)</f>
        <v>0</v>
      </c>
      <c r="P281" s="64" t="str">
        <f ca="1">IFERROR(__xludf.DUMMYFUNCTION("""COMPUTED_VALUE"""),"Epic")</f>
        <v>Epic</v>
      </c>
      <c r="Q281" s="64" t="str">
        <f ca="1">IFERROR(__xludf.DUMMYFUNCTION("""COMPUTED_VALUE"""),"chilling, freezing")</f>
        <v>chilling, freezing</v>
      </c>
      <c r="R281" s="64" t="str">
        <f ca="1">IFERROR(__xludf.DUMMYFUNCTION("""COMPUTED_VALUE"""),"Flower")</f>
        <v>Flower</v>
      </c>
      <c r="S281" s="64" t="str">
        <f ca="1">IFERROR(__xludf.DUMMYFUNCTION("""COMPUTED_VALUE"""),"Chinese Sementium")</f>
        <v>Chinese Sementium</v>
      </c>
      <c r="T281" s="64" t="str">
        <f ca="1">IFERROR(__xludf.DUMMYFUNCTION("""COMPUTED_VALUE"""),"None")</f>
        <v>None</v>
      </c>
      <c r="U281" s="64" t="str">
        <f ca="1">IFERROR(__xludf.DUMMYFUNCTION("""COMPUTED_VALUE"""),"None")</f>
        <v>None</v>
      </c>
      <c r="V281" s="64" t="str">
        <f ca="1">IFERROR(__xludf.DUMMYFUNCTION("""COMPUTED_VALUE"""),"---")</f>
        <v>---</v>
      </c>
      <c r="W281" s="64" t="str">
        <f ca="1">IFERROR(__xludf.DUMMYFUNCTION("""COMPUTED_VALUE"""),"Vanguard")</f>
        <v>Vanguard</v>
      </c>
      <c r="X281" s="64" t="str">
        <f ca="1">IFERROR(__xludf.DUMMYFUNCTION("""COMPUTED_VALUE"""),"PvZ 2 Chinease")</f>
        <v>PvZ 2 Chinease</v>
      </c>
      <c r="Y281" s="65" t="str">
        <f ca="1">IFERROR(__xludf.DUMMYFUNCTION("""COMPUTED_VALUE"""),"https://static.wikia.nocookie.net/plantsvszombies/images/c/c8/Crystal_Orchid2.png/revision/latest?cb=20230222040307")</f>
        <v>https://static.wikia.nocookie.net/plantsvszombies/images/c/c8/Crystal_Orchid2.png/revision/latest?cb=20230222040307</v>
      </c>
    </row>
    <row r="282" spans="1:25" x14ac:dyDescent="0.2">
      <c r="A282" s="64">
        <f ca="1">IFERROR(__xludf.DUMMYFUNCTION("""COMPUTED_VALUE"""),78)</f>
        <v>78</v>
      </c>
      <c r="B282" s="64" t="str">
        <f ca="1">IFERROR(__xludf.DUMMYFUNCTION("""COMPUTED_VALUE"""),"Thunder Snapdragon")</f>
        <v>Thunder Snapdragon</v>
      </c>
      <c r="C282" s="64" t="str">
        <f ca="1">IFERROR(__xludf.DUMMYFUNCTION("""COMPUTED_VALUE"""),"Boca-de-Dragão Elétrico")</f>
        <v>Boca-de-Dragão Elétrico</v>
      </c>
      <c r="D282" s="64" t="str">
        <f ca="1">IFERROR(__xludf.DUMMYFUNCTION("""COMPUTED_VALUE"""),"Fila")</f>
        <v>Fila</v>
      </c>
      <c r="E282" s="64" t="str">
        <f ca="1">IFERROR(__xludf.DUMMYFUNCTION("""COMPUTED_VALUE"""),"Spits out a lightning ball, that discharges an electrical current, causing ranged damage to approaching zombies.")</f>
        <v>Spits out a lightning ball, that discharges an electrical current, causing ranged damage to approaching zombies.</v>
      </c>
      <c r="F282" s="64">
        <f ca="1">IFERROR(__xludf.DUMMYFUNCTION("""COMPUTED_VALUE"""),150)</f>
        <v>150</v>
      </c>
      <c r="G282" s="64">
        <f ca="1">IFERROR(__xludf.DUMMYFUNCTION("""COMPUTED_VALUE"""),300)</f>
        <v>300</v>
      </c>
      <c r="H282" s="64">
        <f ca="1">IFERROR(__xludf.DUMMYFUNCTION("""COMPUTED_VALUE"""),250)</f>
        <v>250</v>
      </c>
      <c r="I282" s="64">
        <f ca="1">IFERROR(__xludf.DUMMYFUNCTION("""COMPUTED_VALUE"""),10)</f>
        <v>10</v>
      </c>
      <c r="J282" s="64" t="str">
        <f ca="1">IFERROR(__xludf.DUMMYFUNCTION("""COMPUTED_VALUE"""),"Thunder Snapdragon floats and spits an electric ball on the tile to the right. Said electric ball spreads to nearby tiles upon landing, damaging and paralyzing zombies for 3 seconds.")</f>
        <v>Thunder Snapdragon floats and spits an electric ball on the tile to the right. Said electric ball spreads to nearby tiles upon landing, damaging and paralyzing zombies for 3 seconds.</v>
      </c>
      <c r="K282" s="64"/>
      <c r="L282" s="64"/>
      <c r="M282" s="64" t="b">
        <f ca="1">IFERROR(__xludf.DUMMYFUNCTION("""COMPUTED_VALUE"""),FALSE)</f>
        <v>0</v>
      </c>
      <c r="N282" s="64" t="b">
        <f ca="1">IFERROR(__xludf.DUMMYFUNCTION("""COMPUTED_VALUE"""),FALSE)</f>
        <v>0</v>
      </c>
      <c r="O282" s="64">
        <f ca="1">IFERROR(__xludf.DUMMYFUNCTION("""COMPUTED_VALUE"""),0)</f>
        <v>0</v>
      </c>
      <c r="P282" s="64" t="str">
        <f ca="1">IFERROR(__xludf.DUMMYFUNCTION("""COMPUTED_VALUE"""),"Legendary")</f>
        <v>Legendary</v>
      </c>
      <c r="Q282" s="64" t="str">
        <f ca="1">IFERROR(__xludf.DUMMYFUNCTION("""COMPUTED_VALUE"""),"control, area-effect, chain_attack, dragon")</f>
        <v>control, area-effect, chain_attack, dragon</v>
      </c>
      <c r="R282" s="64" t="str">
        <f ca="1">IFERROR(__xludf.DUMMYFUNCTION("""COMPUTED_VALUE"""),"Flower")</f>
        <v>Flower</v>
      </c>
      <c r="S282" s="64" t="str">
        <f ca="1">IFERROR(__xludf.DUMMYFUNCTION("""COMPUTED_VALUE"""),"Chinese Sementium")</f>
        <v>Chinese Sementium</v>
      </c>
      <c r="T282" s="64" t="str">
        <f ca="1">IFERROR(__xludf.DUMMYFUNCTION("""COMPUTED_VALUE"""),"None")</f>
        <v>None</v>
      </c>
      <c r="U282" s="64" t="str">
        <f ca="1">IFERROR(__xludf.DUMMYFUNCTION("""COMPUTED_VALUE"""),"None")</f>
        <v>None</v>
      </c>
      <c r="V282" s="64" t="str">
        <f ca="1">IFERROR(__xludf.DUMMYFUNCTION("""COMPUTED_VALUE"""),"---")</f>
        <v>---</v>
      </c>
      <c r="W282" s="64" t="str">
        <f ca="1">IFERROR(__xludf.DUMMYFUNCTION("""COMPUTED_VALUE"""),"Vanguard")</f>
        <v>Vanguard</v>
      </c>
      <c r="X282" s="64" t="str">
        <f ca="1">IFERROR(__xludf.DUMMYFUNCTION("""COMPUTED_VALUE"""),"PvZ 2 Chinease")</f>
        <v>PvZ 2 Chinease</v>
      </c>
      <c r="Y282" s="65" t="str">
        <f ca="1">IFERROR(__xludf.DUMMYFUNCTION("""COMPUTED_VALUE"""),"https://static.wikia.nocookie.net/plantsvszombies/images/e/e9/Thunder_Snapdragon2.png/revision/latest?cb=20190810152622")</f>
        <v>https://static.wikia.nocookie.net/plantsvszombies/images/e/e9/Thunder_Snapdragon2.png/revision/latest?cb=20190810152622</v>
      </c>
    </row>
    <row r="283" spans="1:25" x14ac:dyDescent="0.2">
      <c r="A283" s="64">
        <f ca="1">IFERROR(__xludf.DUMMYFUNCTION("""COMPUTED_VALUE"""),79)</f>
        <v>79</v>
      </c>
      <c r="B283" s="64" t="str">
        <f ca="1">IFERROR(__xludf.DUMMYFUNCTION("""COMPUTED_VALUE"""),"Egret Flower Plane")</f>
        <v>Egret Flower Plane</v>
      </c>
      <c r="C283" s="64" t="str">
        <f ca="1">IFERROR(__xludf.DUMMYFUNCTION("""COMPUTED_VALUE"""),"Jato da garça-branca")</f>
        <v>Jato da garça-branca</v>
      </c>
      <c r="D283" s="64" t="str">
        <f ca="1">IFERROR(__xludf.DUMMYFUNCTION("""COMPUTED_VALUE"""),"Dispara")</f>
        <v>Dispara</v>
      </c>
      <c r="E283" s="64" t="str">
        <f ca="1">IFERROR(__xludf.DUMMYFUNCTION("""COMPUTED_VALUE"""),"Missile attack, stuns a zombie when hit")</f>
        <v>Missile attack, stuns a zombie when hit</v>
      </c>
      <c r="F283" s="64">
        <f ca="1">IFERROR(__xludf.DUMMYFUNCTION("""COMPUTED_VALUE"""),200)</f>
        <v>200</v>
      </c>
      <c r="G283" s="64">
        <f ca="1">IFERROR(__xludf.DUMMYFUNCTION("""COMPUTED_VALUE"""),300)</f>
        <v>300</v>
      </c>
      <c r="H283" s="64">
        <f ca="1">IFERROR(__xludf.DUMMYFUNCTION("""COMPUTED_VALUE"""),20)</f>
        <v>20</v>
      </c>
      <c r="I283" s="64">
        <f ca="1">IFERROR(__xludf.DUMMYFUNCTION("""COMPUTED_VALUE"""),5)</f>
        <v>5</v>
      </c>
      <c r="J283" s="64" t="str">
        <f ca="1">IFERROR(__xludf.DUMMYFUNCTION("""COMPUTED_VALUE"""),"White Egret Flower Fighter Plane calls for aerial support, launching 3 incendiary missiles which prioritize locations with zombies, dealing explosion damage in a 3×3 area upon landing, leaving fire which can deal damage for 5 seconds.")</f>
        <v>White Egret Flower Fighter Plane calls for aerial support, launching 3 incendiary missiles which prioritize locations with zombies, dealing explosion damage in a 3×3 area upon landing, leaving fire which can deal damage for 5 seconds.</v>
      </c>
      <c r="K283" s="64"/>
      <c r="L283" s="64"/>
      <c r="M283" s="64" t="b">
        <f ca="1">IFERROR(__xludf.DUMMYFUNCTION("""COMPUTED_VALUE"""),FALSE)</f>
        <v>0</v>
      </c>
      <c r="N283" s="64" t="b">
        <f ca="1">IFERROR(__xludf.DUMMYFUNCTION("""COMPUTED_VALUE"""),FALSE)</f>
        <v>0</v>
      </c>
      <c r="O283" s="64">
        <f ca="1">IFERROR(__xludf.DUMMYFUNCTION("""COMPUTED_VALUE"""),0)</f>
        <v>0</v>
      </c>
      <c r="P283" s="64" t="str">
        <f ca="1">IFERROR(__xludf.DUMMYFUNCTION("""COMPUTED_VALUE"""),"Legendary")</f>
        <v>Legendary</v>
      </c>
      <c r="Q283" s="64" t="str">
        <f ca="1">IFERROR(__xludf.DUMMYFUNCTION("""COMPUTED_VALUE"""),"flying, control")</f>
        <v>flying, control</v>
      </c>
      <c r="R283" s="64" t="str">
        <f ca="1">IFERROR(__xludf.DUMMYFUNCTION("""COMPUTED_VALUE"""),"Flower")</f>
        <v>Flower</v>
      </c>
      <c r="S283" s="64" t="str">
        <f ca="1">IFERROR(__xludf.DUMMYFUNCTION("""COMPUTED_VALUE"""),"Chinese Sementium")</f>
        <v>Chinese Sementium</v>
      </c>
      <c r="T283" s="64" t="str">
        <f ca="1">IFERROR(__xludf.DUMMYFUNCTION("""COMPUTED_VALUE"""),"None")</f>
        <v>None</v>
      </c>
      <c r="U283" s="64" t="str">
        <f ca="1">IFERROR(__xludf.DUMMYFUNCTION("""COMPUTED_VALUE"""),"None")</f>
        <v>None</v>
      </c>
      <c r="V283" s="64" t="str">
        <f ca="1">IFERROR(__xludf.DUMMYFUNCTION("""COMPUTED_VALUE"""),"---")</f>
        <v>---</v>
      </c>
      <c r="W283" s="64" t="str">
        <f ca="1">IFERROR(__xludf.DUMMYFUNCTION("""COMPUTED_VALUE"""),"Ranged")</f>
        <v>Ranged</v>
      </c>
      <c r="X283" s="64" t="str">
        <f ca="1">IFERROR(__xludf.DUMMYFUNCTION("""COMPUTED_VALUE"""),"PvZ 2 Chinease")</f>
        <v>PvZ 2 Chinease</v>
      </c>
      <c r="Y283" s="65" t="str">
        <f ca="1">IFERROR(__xludf.DUMMYFUNCTION("""COMPUTED_VALUE"""),"https://static.wikia.nocookie.net/plantsvszombies/images/a/ae/Egret_Flower_Plane2.png/revision/latest?cb=20200114205809")</f>
        <v>https://static.wikia.nocookie.net/plantsvszombies/images/a/ae/Egret_Flower_Plane2.png/revision/latest?cb=20200114205809</v>
      </c>
    </row>
    <row r="284" spans="1:25" x14ac:dyDescent="0.2">
      <c r="A284" s="64">
        <f ca="1">IFERROR(__xludf.DUMMYFUNCTION("""COMPUTED_VALUE"""),80)</f>
        <v>80</v>
      </c>
      <c r="B284" s="64" t="str">
        <f ca="1">IFERROR(__xludf.DUMMYFUNCTION("""COMPUTED_VALUE"""),"Elaeocarpus-pult")</f>
        <v>Elaeocarpus-pult</v>
      </c>
      <c r="C284" s="64" t="str">
        <f ca="1">IFERROR(__xludf.DUMMYFUNCTION("""COMPUTED_VALUE"""),"Elaeocarpus-pulta")</f>
        <v>Elaeocarpus-pulta</v>
      </c>
      <c r="D284" s="64" t="str">
        <f ca="1">IFERROR(__xludf.DUMMYFUNCTION("""COMPUTED_VALUE"""),"Arma")</f>
        <v>Arma</v>
      </c>
      <c r="E284" s="64" t="str">
        <f ca="1">IFERROR(__xludf.DUMMYFUNCTION("""COMPUTED_VALUE"""),"Will bounce shuttlecocks off of zombies when they're far away, and will kill lower-health zombies when they're at close range.")</f>
        <v>Will bounce shuttlecocks off of zombies when they're far away, and will kill lower-health zombies when they're at close range.</v>
      </c>
      <c r="F284" s="64">
        <f ca="1">IFERROR(__xludf.DUMMYFUNCTION("""COMPUTED_VALUE"""),200)</f>
        <v>200</v>
      </c>
      <c r="G284" s="64">
        <f ca="1">IFERROR(__xludf.DUMMYFUNCTION("""COMPUTED_VALUE"""),300)</f>
        <v>300</v>
      </c>
      <c r="H284" s="64">
        <f ca="1">IFERROR(__xludf.DUMMYFUNCTION("""COMPUTED_VALUE"""),100)</f>
        <v>100</v>
      </c>
      <c r="I284" s="64">
        <f ca="1">IFERROR(__xludf.DUMMYFUNCTION("""COMPUTED_VALUE"""),10)</f>
        <v>10</v>
      </c>
      <c r="J284" s="64" t="str">
        <f ca="1">IFERROR(__xludf.DUMMYFUNCTION("""COMPUTED_VALUE"""),"Elaeocarpus-pult temporarily changes the way of attacking, striking a horizontally spinning shot, creating a whirlwind which deals damage multiple times upon hitting a zombie. Said whirlwind moves for 1 tile.")</f>
        <v>Elaeocarpus-pult temporarily changes the way of attacking, striking a horizontally spinning shot, creating a whirlwind which deals damage multiple times upon hitting a zombie. Said whirlwind moves for 1 tile.</v>
      </c>
      <c r="K284" s="64"/>
      <c r="L284" s="64"/>
      <c r="M284" s="64" t="b">
        <f ca="1">IFERROR(__xludf.DUMMYFUNCTION("""COMPUTED_VALUE"""),FALSE)</f>
        <v>0</v>
      </c>
      <c r="N284" s="64" t="b">
        <f ca="1">IFERROR(__xludf.DUMMYFUNCTION("""COMPUTED_VALUE"""),FALSE)</f>
        <v>0</v>
      </c>
      <c r="O284" s="64">
        <f ca="1">IFERROR(__xludf.DUMMYFUNCTION("""COMPUTED_VALUE"""),0)</f>
        <v>0</v>
      </c>
      <c r="P284" s="64" t="str">
        <f ca="1">IFERROR(__xludf.DUMMYFUNCTION("""COMPUTED_VALUE"""),"Epic")</f>
        <v>Epic</v>
      </c>
      <c r="Q284" s="64"/>
      <c r="R284" s="64" t="str">
        <f ca="1">IFERROR(__xludf.DUMMYFUNCTION("""COMPUTED_VALUE"""),"Flower")</f>
        <v>Flower</v>
      </c>
      <c r="S284" s="64" t="str">
        <f ca="1">IFERROR(__xludf.DUMMYFUNCTION("""COMPUTED_VALUE"""),"Chinese Sementium")</f>
        <v>Chinese Sementium</v>
      </c>
      <c r="T284" s="64" t="str">
        <f ca="1">IFERROR(__xludf.DUMMYFUNCTION("""COMPUTED_VALUE"""),"None")</f>
        <v>None</v>
      </c>
      <c r="U284" s="64" t="str">
        <f ca="1">IFERROR(__xludf.DUMMYFUNCTION("""COMPUTED_VALUE"""),"200")</f>
        <v>200</v>
      </c>
      <c r="V284" s="64" t="str">
        <f ca="1">IFERROR(__xludf.DUMMYFUNCTION("""COMPUTED_VALUE"""),"---")</f>
        <v>---</v>
      </c>
      <c r="W284" s="64" t="str">
        <f ca="1">IFERROR(__xludf.DUMMYFUNCTION("""COMPUTED_VALUE"""),"Ranged")</f>
        <v>Ranged</v>
      </c>
      <c r="X284" s="64" t="str">
        <f ca="1">IFERROR(__xludf.DUMMYFUNCTION("""COMPUTED_VALUE"""),"PvZ 2 Chinease")</f>
        <v>PvZ 2 Chinease</v>
      </c>
      <c r="Y284" s="65" t="str">
        <f ca="1">IFERROR(__xludf.DUMMYFUNCTION("""COMPUTED_VALUE"""),"https://static.wikia.nocookie.net/plantsvszombies/images/5/5d/Elaeocarpus-pult2.png/revision/latest?cb=20200418155447")</f>
        <v>https://static.wikia.nocookie.net/plantsvszombies/images/5/5d/Elaeocarpus-pult2.png/revision/latest?cb=20200418155447</v>
      </c>
    </row>
    <row r="285" spans="1:25" x14ac:dyDescent="0.2">
      <c r="A285" s="64">
        <f ca="1">IFERROR(__xludf.DUMMYFUNCTION("""COMPUTED_VALUE"""),81)</f>
        <v>81</v>
      </c>
      <c r="B285" s="64" t="str">
        <f ca="1">IFERROR(__xludf.DUMMYFUNCTION("""COMPUTED_VALUE"""),"Water Chestnut Brothers")</f>
        <v>Water Chestnut Brothers</v>
      </c>
      <c r="C285" s="64" t="str">
        <f ca="1">IFERROR(__xludf.DUMMYFUNCTION("""COMPUTED_VALUE"""),"Irmãos Castanhas-d'agua")</f>
        <v>Irmãos Castanhas-d'agua</v>
      </c>
      <c r="D285" s="64" t="str">
        <f ca="1">IFERROR(__xludf.DUMMYFUNCTION("""COMPUTED_VALUE"""),"Resfriada")</f>
        <v>Resfriada</v>
      </c>
      <c r="E285" s="64" t="str">
        <f ca="1">IFERROR(__xludf.DUMMYFUNCTION("""COMPUTED_VALUE"""),"Deals damage to zombies by striking them with curling stones and generates an ice trail to slow them down.")</f>
        <v>Deals damage to zombies by striking them with curling stones and generates an ice trail to slow them down.</v>
      </c>
      <c r="F285" s="64">
        <f ca="1">IFERROR(__xludf.DUMMYFUNCTION("""COMPUTED_VALUE"""),250)</f>
        <v>250</v>
      </c>
      <c r="G285" s="64">
        <f ca="1">IFERROR(__xludf.DUMMYFUNCTION("""COMPUTED_VALUE"""),300)</f>
        <v>300</v>
      </c>
      <c r="H285" s="64">
        <f ca="1">IFERROR(__xludf.DUMMYFUNCTION("""COMPUTED_VALUE"""),150)</f>
        <v>150</v>
      </c>
      <c r="I285" s="64">
        <f ca="1">IFERROR(__xludf.DUMMYFUNCTION("""COMPUTED_VALUE"""),5)</f>
        <v>5</v>
      </c>
      <c r="J285" s="64" t="str">
        <f ca="1">IFERROR(__xludf.DUMMYFUNCTION("""COMPUTED_VALUE"""),"Water Chestnut Brothers fuses into one big curling stone, moving to the right to deal piercing damage to all zombies on the row, knocking away small-to-medium sized zombies. Leaves an ice trail which lasts for 5 seconds, slowing zombies on it.")</f>
        <v>Water Chestnut Brothers fuses into one big curling stone, moving to the right to deal piercing damage to all zombies on the row, knocking away small-to-medium sized zombies. Leaves an ice trail which lasts for 5 seconds, slowing zombies on it.</v>
      </c>
      <c r="K285" s="64"/>
      <c r="L285" s="64"/>
      <c r="M285" s="64" t="b">
        <f ca="1">IFERROR(__xludf.DUMMYFUNCTION("""COMPUTED_VALUE"""),FALSE)</f>
        <v>0</v>
      </c>
      <c r="N285" s="64" t="b">
        <f ca="1">IFERROR(__xludf.DUMMYFUNCTION("""COMPUTED_VALUE"""),FALSE)</f>
        <v>0</v>
      </c>
      <c r="O285" s="64">
        <f ca="1">IFERROR(__xludf.DUMMYFUNCTION("""COMPUTED_VALUE"""),0)</f>
        <v>0</v>
      </c>
      <c r="P285" s="64" t="str">
        <f ca="1">IFERROR(__xludf.DUMMYFUNCTION("""COMPUTED_VALUE"""),"Legendary")</f>
        <v>Legendary</v>
      </c>
      <c r="Q285" s="64" t="str">
        <f ca="1">IFERROR(__xludf.DUMMYFUNCTION("""COMPUTED_VALUE"""),"summon- chilling, freezing, area-effect, control")</f>
        <v>summon- chilling, freezing, area-effect, control</v>
      </c>
      <c r="R285" s="64" t="str">
        <f ca="1">IFERROR(__xludf.DUMMYFUNCTION("""COMPUTED_VALUE"""),"Nut")</f>
        <v>Nut</v>
      </c>
      <c r="S285" s="64" t="str">
        <f ca="1">IFERROR(__xludf.DUMMYFUNCTION("""COMPUTED_VALUE"""),"Chinese Sementium")</f>
        <v>Chinese Sementium</v>
      </c>
      <c r="T285" s="64" t="str">
        <f ca="1">IFERROR(__xludf.DUMMYFUNCTION("""COMPUTED_VALUE"""),"None")</f>
        <v>None</v>
      </c>
      <c r="U285" s="64" t="str">
        <f ca="1">IFERROR(__xludf.DUMMYFUNCTION("""COMPUTED_VALUE"""),"None")</f>
        <v>None</v>
      </c>
      <c r="V285" s="64" t="str">
        <f ca="1">IFERROR(__xludf.DUMMYFUNCTION("""COMPUTED_VALUE"""),"---")</f>
        <v>---</v>
      </c>
      <c r="W285" s="64" t="str">
        <f ca="1">IFERROR(__xludf.DUMMYFUNCTION("""COMPUTED_VALUE"""),"Ranged")</f>
        <v>Ranged</v>
      </c>
      <c r="X285" s="64" t="str">
        <f ca="1">IFERROR(__xludf.DUMMYFUNCTION("""COMPUTED_VALUE"""),"PvZ 2 Chinease")</f>
        <v>PvZ 2 Chinease</v>
      </c>
      <c r="Y285" s="65" t="str">
        <f ca="1">IFERROR(__xludf.DUMMYFUNCTION("""COMPUTED_VALUE"""),"https://static.wikia.nocookie.net/plantsvszombies/images/d/d2/Water_Chestnut_Brothers2.png/revision/latest?cb=20200716201954")</f>
        <v>https://static.wikia.nocookie.net/plantsvszombies/images/d/d2/Water_Chestnut_Brothers2.png/revision/latest?cb=20200716201954</v>
      </c>
    </row>
    <row r="286" spans="1:25" x14ac:dyDescent="0.2">
      <c r="A286" s="64">
        <f ca="1">IFERROR(__xludf.DUMMYFUNCTION("""COMPUTED_VALUE"""),82)</f>
        <v>82</v>
      </c>
      <c r="B286" s="64" t="str">
        <f ca="1">IFERROR(__xludf.DUMMYFUNCTION("""COMPUTED_VALUE"""),"Dollarweed Drummer")</f>
        <v>Dollarweed Drummer</v>
      </c>
      <c r="C286" s="64" t="str">
        <f ca="1">IFERROR(__xludf.DUMMYFUNCTION("""COMPUTED_VALUE"""),"Acariçoba Baterista")</f>
        <v>Acariçoba Baterista</v>
      </c>
      <c r="D286" s="64" t="str">
        <f ca="1">IFERROR(__xludf.DUMMYFUNCTION("""COMPUTED_VALUE"""),"Refrea")</f>
        <v>Refrea</v>
      </c>
      <c r="E286" s="64" t="str">
        <f ca="1">IFERROR(__xludf.DUMMYFUNCTION("""COMPUTED_VALUE"""),"Dollarweed Drummers can provide a variety of buffs to plants, with max buffs given to Orchestra Plants.")</f>
        <v>Dollarweed Drummers can provide a variety of buffs to plants, with max buffs given to Orchestra Plants.</v>
      </c>
      <c r="F286" s="64">
        <f ca="1">IFERROR(__xludf.DUMMYFUNCTION("""COMPUTED_VALUE"""),150)</f>
        <v>150</v>
      </c>
      <c r="G286" s="64">
        <f ca="1">IFERROR(__xludf.DUMMYFUNCTION("""COMPUTED_VALUE"""),300)</f>
        <v>300</v>
      </c>
      <c r="H286" s="64">
        <f ca="1">IFERROR(__xludf.DUMMYFUNCTION("""COMPUTED_VALUE"""),15)</f>
        <v>15</v>
      </c>
      <c r="I286" s="64">
        <f ca="1">IFERROR(__xludf.DUMMYFUNCTION("""COMPUTED_VALUE"""),7.5)</f>
        <v>7.5</v>
      </c>
      <c r="J286" s="64" t="str">
        <f ca="1">IFERROR(__xludf.DUMMYFUNCTION("""COMPUTED_VALUE"""),"Stuns all zombies for 2 seconds, giving a 20% damage and speed buff to all plants, all defensive plants will recover 20% of their health, boosts for orchestra plants are increased to 35% damage and speed buff, lasting for 14 seconds. 1800 damage.[sic] Cha"&amp;"nce of leaving a shadow vortext is increased to 30%, lasting for 9 seconds.[sic] Zombie vulnerability effect becomes to 55%.")</f>
        <v>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v>
      </c>
      <c r="K286" s="64" t="str">
        <f ca="1">IFERROR(__xludf.DUMMYFUNCTION("""COMPUTED_VALUE"""),"Boosts adjacents plants")</f>
        <v>Boosts adjacents plants</v>
      </c>
      <c r="L286" s="64"/>
      <c r="M286" s="64" t="b">
        <f ca="1">IFERROR(__xludf.DUMMYFUNCTION("""COMPUTED_VALUE"""),FALSE)</f>
        <v>0</v>
      </c>
      <c r="N286" s="64" t="b">
        <f ca="1">IFERROR(__xludf.DUMMYFUNCTION("""COMPUTED_VALUE"""),FALSE)</f>
        <v>0</v>
      </c>
      <c r="O286" s="64">
        <f ca="1">IFERROR(__xludf.DUMMYFUNCTION("""COMPUTED_VALUE"""),0)</f>
        <v>0</v>
      </c>
      <c r="P286" s="64" t="str">
        <f ca="1">IFERROR(__xludf.DUMMYFUNCTION("""COMPUTED_VALUE"""),"Epic")</f>
        <v>Epic</v>
      </c>
      <c r="Q286" s="64" t="str">
        <f ca="1">IFERROR(__xludf.DUMMYFUNCTION("""COMPUTED_VALUE"""),"orchestra, healing, slowing")</f>
        <v>orchestra, healing, slowing</v>
      </c>
      <c r="R286" s="64" t="str">
        <f ca="1">IFERROR(__xludf.DUMMYFUNCTION("""COMPUTED_VALUE"""),"Leaf")</f>
        <v>Leaf</v>
      </c>
      <c r="S286" s="64" t="str">
        <f ca="1">IFERROR(__xludf.DUMMYFUNCTION("""COMPUTED_VALUE"""),"Chinese Sementium")</f>
        <v>Chinese Sementium</v>
      </c>
      <c r="T286" s="64" t="str">
        <f ca="1">IFERROR(__xludf.DUMMYFUNCTION("""COMPUTED_VALUE"""),"None")</f>
        <v>None</v>
      </c>
      <c r="U286" s="64" t="str">
        <f ca="1">IFERROR(__xludf.DUMMYFUNCTION("""COMPUTED_VALUE"""),"None")</f>
        <v>None</v>
      </c>
      <c r="V286" s="64" t="str">
        <f ca="1">IFERROR(__xludf.DUMMYFUNCTION("""COMPUTED_VALUE"""),"---")</f>
        <v>---</v>
      </c>
      <c r="W286" s="64" t="str">
        <f ca="1">IFERROR(__xludf.DUMMYFUNCTION("""COMPUTED_VALUE"""),"Support")</f>
        <v>Support</v>
      </c>
      <c r="X286" s="64" t="str">
        <f ca="1">IFERROR(__xludf.DUMMYFUNCTION("""COMPUTED_VALUE"""),"PvZ 2 Chinease")</f>
        <v>PvZ 2 Chinease</v>
      </c>
      <c r="Y286" s="65" t="str">
        <f ca="1">IFERROR(__xludf.DUMMYFUNCTION("""COMPUTED_VALUE"""),"https://static.wikia.nocookie.net/plantsvszombies/images/8/88/Dollarweed_Drummer2.png/revision/latest?cb=20201226065335")</f>
        <v>https://static.wikia.nocookie.net/plantsvszombies/images/8/88/Dollarweed_Drummer2.png/revision/latest?cb=20201226065335</v>
      </c>
    </row>
    <row r="287" spans="1:25" x14ac:dyDescent="0.2">
      <c r="A287" s="64">
        <f ca="1">IFERROR(__xludf.DUMMYFUNCTION("""COMPUTED_VALUE"""),83)</f>
        <v>83</v>
      </c>
      <c r="B287" s="64" t="str">
        <f ca="1">IFERROR(__xludf.DUMMYFUNCTION("""COMPUTED_VALUE"""),"Shadow Vanilla")</f>
        <v>Shadow Vanilla</v>
      </c>
      <c r="C287" s="64" t="str">
        <f ca="1">IFERROR(__xludf.DUMMYFUNCTION("""COMPUTED_VALUE"""),"Baunilha Sombria")</f>
        <v>Baunilha Sombria</v>
      </c>
      <c r="D287" s="64" t="str">
        <f ca="1">IFERROR(__xludf.DUMMYFUNCTION("""COMPUTED_VALUE"""),"Sombra")</f>
        <v>Sombra</v>
      </c>
      <c r="E287" s="64" t="str">
        <f ca="1">IFERROR(__xludf.DUMMYFUNCTION("""COMPUTED_VALUE"""),"Shadow Vanilla can put zombies in a ""vulnerable"" state by charging its leaves while in its shadow form.")</f>
        <v>Shadow Vanilla can put zombies in a "vulnerable" state by charging its leaves while in its shadow form.</v>
      </c>
      <c r="F287" s="64">
        <f ca="1">IFERROR(__xludf.DUMMYFUNCTION("""COMPUTED_VALUE"""),175)</f>
        <v>175</v>
      </c>
      <c r="G287" s="64">
        <f ca="1">IFERROR(__xludf.DUMMYFUNCTION("""COMPUTED_VALUE"""),300)</f>
        <v>300</v>
      </c>
      <c r="H287" s="64">
        <f ca="1">IFERROR(__xludf.DUMMYFUNCTION("""COMPUTED_VALUE"""),40)</f>
        <v>40</v>
      </c>
      <c r="I287" s="64">
        <f ca="1">IFERROR(__xludf.DUMMYFUNCTION("""COMPUTED_VALUE"""),5)</f>
        <v>5</v>
      </c>
      <c r="J287" s="64" t="str">
        <f ca="1">IFERROR(__xludf.DUMMYFUNCTION("""COMPUTED_VALUE"""),"Fires a shadow whirlwind to the right, splitting into 9 whirlwinds upon hitting a zombie, dealing damage constantly. When powered, fire one whirlwind for each of the three rows to the right, piercing and dealing damage to all zombies.")</f>
        <v>Fires a shadow whirlwind to the right, splitting into 9 whirlwinds upon hitting a zombie, dealing damage constantly. When powered, fire one whirlwind for each of the three rows to the right, piercing and dealing damage to all zombies.</v>
      </c>
      <c r="K287" s="64"/>
      <c r="L287" s="64"/>
      <c r="M287" s="64" t="b">
        <f ca="1">IFERROR(__xludf.DUMMYFUNCTION("""COMPUTED_VALUE"""),FALSE)</f>
        <v>0</v>
      </c>
      <c r="N287" s="64" t="b">
        <f ca="1">IFERROR(__xludf.DUMMYFUNCTION("""COMPUTED_VALUE"""),FALSE)</f>
        <v>0</v>
      </c>
      <c r="O287" s="64">
        <f ca="1">IFERROR(__xludf.DUMMYFUNCTION("""COMPUTED_VALUE"""),0)</f>
        <v>0</v>
      </c>
      <c r="P287" s="64" t="str">
        <f ca="1">IFERROR(__xludf.DUMMYFUNCTION("""COMPUTED_VALUE"""),"Epic")</f>
        <v>Epic</v>
      </c>
      <c r="Q287" s="64"/>
      <c r="R287" s="64" t="str">
        <f ca="1">IFERROR(__xludf.DUMMYFUNCTION("""COMPUTED_VALUE"""),"Flower")</f>
        <v>Flower</v>
      </c>
      <c r="S287" s="64" t="str">
        <f ca="1">IFERROR(__xludf.DUMMYFUNCTION("""COMPUTED_VALUE"""),"Chinese Sementium")</f>
        <v>Chinese Sementium</v>
      </c>
      <c r="T287" s="64" t="str">
        <f ca="1">IFERROR(__xludf.DUMMYFUNCTION("""COMPUTED_VALUE"""),"None")</f>
        <v>None</v>
      </c>
      <c r="U287" s="64" t="str">
        <f ca="1">IFERROR(__xludf.DUMMYFUNCTION("""COMPUTED_VALUE"""),"None")</f>
        <v>None</v>
      </c>
      <c r="V287" s="64" t="str">
        <f ca="1">IFERROR(__xludf.DUMMYFUNCTION("""COMPUTED_VALUE"""),"---")</f>
        <v>---</v>
      </c>
      <c r="W287" s="64" t="str">
        <f ca="1">IFERROR(__xludf.DUMMYFUNCTION("""COMPUTED_VALUE"""),"Ranged")</f>
        <v>Ranged</v>
      </c>
      <c r="X287" s="64" t="str">
        <f ca="1">IFERROR(__xludf.DUMMYFUNCTION("""COMPUTED_VALUE"""),"PvZ 2 Chinease")</f>
        <v>PvZ 2 Chinease</v>
      </c>
      <c r="Y287" s="65" t="str">
        <f ca="1">IFERROR(__xludf.DUMMYFUNCTION("""COMPUTED_VALUE"""),"https://static.wikia.nocookie.net/plantsvszombies/images/e/e5/Shadow_Vanilla2.png/revision/latest?cb=20210728071427")</f>
        <v>https://static.wikia.nocookie.net/plantsvszombies/images/e/e5/Shadow_Vanilla2.png/revision/latest?cb=20210728071427</v>
      </c>
    </row>
    <row r="288" spans="1:25" x14ac:dyDescent="0.2">
      <c r="A288" s="64">
        <f ca="1">IFERROR(__xludf.DUMMYFUNCTION("""COMPUTED_VALUE"""),84)</f>
        <v>84</v>
      </c>
      <c r="B288" s="64" t="str">
        <f ca="1">IFERROR(__xludf.DUMMYFUNCTION("""COMPUTED_VALUE"""),"Bromel Blade")</f>
        <v>Bromel Blade</v>
      </c>
      <c r="C288" s="64" t="str">
        <f ca="1">IFERROR(__xludf.DUMMYFUNCTION("""COMPUTED_VALUE"""),"Bromélia Navalha")</f>
        <v>Bromélia Navalha</v>
      </c>
      <c r="D288" s="64" t="str">
        <f ca="1">IFERROR(__xludf.DUMMYFUNCTION("""COMPUTED_VALUE"""),"Surra")</f>
        <v>Surra</v>
      </c>
      <c r="E288" s="64" t="str">
        <f ca="1">IFERROR(__xludf.DUMMYFUNCTION("""COMPUTED_VALUE"""),"Bromel Blade wields his chain blade to deal lots of damage to zombies.")</f>
        <v>Bromel Blade wields his chain blade to deal lots of damage to zombies.</v>
      </c>
      <c r="F288" s="64">
        <f ca="1">IFERROR(__xludf.DUMMYFUNCTION("""COMPUTED_VALUE"""),150)</f>
        <v>150</v>
      </c>
      <c r="G288" s="64">
        <f ca="1">IFERROR(__xludf.DUMMYFUNCTION("""COMPUTED_VALUE"""),300)</f>
        <v>300</v>
      </c>
      <c r="H288" s="64">
        <f ca="1">IFERROR(__xludf.DUMMYFUNCTION("""COMPUTED_VALUE"""),75)</f>
        <v>75</v>
      </c>
      <c r="I288" s="64">
        <f ca="1">IFERROR(__xludf.DUMMYFUNCTION("""COMPUTED_VALUE"""),5)</f>
        <v>5</v>
      </c>
      <c r="J288" s="64" t="str">
        <f ca="1">IFERROR(__xludf.DUMMYFUNCTION("""COMPUTED_VALUE"""),"Splendens Blade quickly pulls out the blade, dealing damage to all zombies in a 3×3 region to the right.")</f>
        <v>Splendens Blade quickly pulls out the blade, dealing damage to all zombies in a 3×3 region to the right.</v>
      </c>
      <c r="K288" s="64" t="str">
        <f ca="1">IFERROR(__xludf.DUMMYFUNCTION("""COMPUTED_VALUE"""),"Attack range 2 tiles to right")</f>
        <v>Attack range 2 tiles to right</v>
      </c>
      <c r="L288" s="64"/>
      <c r="M288" s="64" t="b">
        <f ca="1">IFERROR(__xludf.DUMMYFUNCTION("""COMPUTED_VALUE"""),FALSE)</f>
        <v>0</v>
      </c>
      <c r="N288" s="64" t="b">
        <f ca="1">IFERROR(__xludf.DUMMYFUNCTION("""COMPUTED_VALUE"""),FALSE)</f>
        <v>0</v>
      </c>
      <c r="O288" s="64">
        <f ca="1">IFERROR(__xludf.DUMMYFUNCTION("""COMPUTED_VALUE"""),0)</f>
        <v>0</v>
      </c>
      <c r="P288" s="64" t="str">
        <f ca="1">IFERROR(__xludf.DUMMYFUNCTION("""COMPUTED_VALUE"""),"Legendary")</f>
        <v>Legendary</v>
      </c>
      <c r="Q288" s="64" t="str">
        <f ca="1">IFERROR(__xludf.DUMMYFUNCTION("""COMPUTED_VALUE"""),"area-effect")</f>
        <v>area-effect</v>
      </c>
      <c r="R288" s="64" t="str">
        <f ca="1">IFERROR(__xludf.DUMMYFUNCTION("""COMPUTED_VALUE"""),"Flower")</f>
        <v>Flower</v>
      </c>
      <c r="S288" s="64" t="str">
        <f ca="1">IFERROR(__xludf.DUMMYFUNCTION("""COMPUTED_VALUE"""),"Chinese Sementium")</f>
        <v>Chinese Sementium</v>
      </c>
      <c r="T288" s="64" t="str">
        <f ca="1">IFERROR(__xludf.DUMMYFUNCTION("""COMPUTED_VALUE"""),"None")</f>
        <v>None</v>
      </c>
      <c r="U288" s="64" t="str">
        <f ca="1">IFERROR(__xludf.DUMMYFUNCTION("""COMPUTED_VALUE"""),"None")</f>
        <v>None</v>
      </c>
      <c r="V288" s="64" t="str">
        <f ca="1">IFERROR(__xludf.DUMMYFUNCTION("""COMPUTED_VALUE"""),"---")</f>
        <v>---</v>
      </c>
      <c r="W288" s="64" t="str">
        <f ca="1">IFERROR(__xludf.DUMMYFUNCTION("""COMPUTED_VALUE"""),"Vanguard")</f>
        <v>Vanguard</v>
      </c>
      <c r="X288" s="64" t="str">
        <f ca="1">IFERROR(__xludf.DUMMYFUNCTION("""COMPUTED_VALUE"""),"PvZ 2 Chinease")</f>
        <v>PvZ 2 Chinease</v>
      </c>
      <c r="Y288" s="65" t="str">
        <f ca="1">IFERROR(__xludf.DUMMYFUNCTION("""COMPUTED_VALUE"""),"https://static.wikia.nocookie.net/plantsvszombies/images/4/47/Splendens_Blade2.png/revision/latest?cb=20201212160706")</f>
        <v>https://static.wikia.nocookie.net/plantsvszombies/images/4/47/Splendens_Blade2.png/revision/latest?cb=20201212160706</v>
      </c>
    </row>
    <row r="289" spans="1:25" x14ac:dyDescent="0.2">
      <c r="A289" s="64">
        <f ca="1">IFERROR(__xludf.DUMMYFUNCTION("""COMPUTED_VALUE"""),85)</f>
        <v>85</v>
      </c>
      <c r="B289" s="64" t="str">
        <f ca="1">IFERROR(__xludf.DUMMYFUNCTION("""COMPUTED_VALUE"""),"Earthstar Nuclear Silo")</f>
        <v>Earthstar Nuclear Silo</v>
      </c>
      <c r="C289" s="64" t="str">
        <f ca="1">IFERROR(__xludf.DUMMYFUNCTION("""COMPUTED_VALUE"""),"Estrela-da-terra Nuclear")</f>
        <v>Estrela-da-terra Nuclear</v>
      </c>
      <c r="D289" s="64" t="str">
        <f ca="1">IFERROR(__xludf.DUMMYFUNCTION("""COMPUTED_VALUE"""),"Bombarda")</f>
        <v>Bombarda</v>
      </c>
      <c r="E289" s="64" t="str">
        <f ca="1">IFERROR(__xludf.DUMMYFUNCTION("""COMPUTED_VALUE"""),"Launches nuclear bombs, dealing high damage, and leaving behind radiation which mutates zombies.")</f>
        <v>Launches nuclear bombs, dealing high damage, and leaving behind radiation which mutates zombies.</v>
      </c>
      <c r="F289" s="64">
        <f ca="1">IFERROR(__xludf.DUMMYFUNCTION("""COMPUTED_VALUE"""),450)</f>
        <v>450</v>
      </c>
      <c r="G289" s="64">
        <f ca="1">IFERROR(__xludf.DUMMYFUNCTION("""COMPUTED_VALUE"""),300)</f>
        <v>300</v>
      </c>
      <c r="H289" s="64">
        <f ca="1">IFERROR(__xludf.DUMMYFUNCTION("""COMPUTED_VALUE"""),700)</f>
        <v>700</v>
      </c>
      <c r="I289" s="64">
        <f ca="1">IFERROR(__xludf.DUMMYFUNCTION("""COMPUTED_VALUE"""),10)</f>
        <v>10</v>
      </c>
      <c r="J289" s="64" t="str">
        <f ca="1">IFERROR(__xludf.DUMMYFUNCTION("""COMPUTED_VALUE"""),"Earthstar Nuclear Silo finishes resting and immediately launches 4 nukes, dealing explosion damage to zombies in a 1×2 area and mutating them.")</f>
        <v>Earthstar Nuclear Silo finishes resting and immediately launches 4 nukes, dealing explosion damage to zombies in a 1×2 area and mutating them.</v>
      </c>
      <c r="K289" s="64" t="str">
        <f ca="1">IFERROR(__xludf.DUMMYFUNCTION("""COMPUTED_VALUE"""),"Attacks every 15 seconds")</f>
        <v>Attacks every 15 seconds</v>
      </c>
      <c r="L289" s="64" t="str">
        <f ca="1">IFERROR(__xludf.DUMMYFUNCTION("""COMPUTED_VALUE"""),"Costs more sun the more earthstar Silo Launcher are on the board")</f>
        <v>Costs more sun the more earthstar Silo Launcher are on the board</v>
      </c>
      <c r="M289" s="64" t="b">
        <f ca="1">IFERROR(__xludf.DUMMYFUNCTION("""COMPUTED_VALUE"""),FALSE)</f>
        <v>0</v>
      </c>
      <c r="N289" s="64" t="b">
        <f ca="1">IFERROR(__xludf.DUMMYFUNCTION("""COMPUTED_VALUE"""),FALSE)</f>
        <v>0</v>
      </c>
      <c r="O289" s="64">
        <f ca="1">IFERROR(__xludf.DUMMYFUNCTION("""COMPUTED_VALUE"""),0)</f>
        <v>0</v>
      </c>
      <c r="P289" s="64" t="str">
        <f ca="1">IFERROR(__xludf.DUMMYFUNCTION("""COMPUTED_VALUE"""),"Legendary")</f>
        <v>Legendary</v>
      </c>
      <c r="Q289" s="64" t="str">
        <f ca="1">IFERROR(__xludf.DUMMYFUNCTION("""COMPUTED_VALUE"""),"area-effect, explosion, poison")</f>
        <v>area-effect, explosion, poison</v>
      </c>
      <c r="R289" s="64" t="str">
        <f ca="1">IFERROR(__xludf.DUMMYFUNCTION("""COMPUTED_VALUE"""),"Murshroom")</f>
        <v>Murshroom</v>
      </c>
      <c r="S289" s="64" t="str">
        <f ca="1">IFERROR(__xludf.DUMMYFUNCTION("""COMPUTED_VALUE"""),"Chinese Sementium")</f>
        <v>Chinese Sementium</v>
      </c>
      <c r="T289" s="64" t="str">
        <f ca="1">IFERROR(__xludf.DUMMYFUNCTION("""COMPUTED_VALUE"""),"None")</f>
        <v>None</v>
      </c>
      <c r="U289" s="64" t="str">
        <f ca="1">IFERROR(__xludf.DUMMYFUNCTION("""COMPUTED_VALUE"""),"None")</f>
        <v>None</v>
      </c>
      <c r="V289" s="64" t="str">
        <f ca="1">IFERROR(__xludf.DUMMYFUNCTION("""COMPUTED_VALUE"""),"nukelauncher")</f>
        <v>nukelauncher</v>
      </c>
      <c r="W289" s="64" t="str">
        <f ca="1">IFERROR(__xludf.DUMMYFUNCTION("""COMPUTED_VALUE"""),"Ranged")</f>
        <v>Ranged</v>
      </c>
      <c r="X289" s="64" t="str">
        <f ca="1">IFERROR(__xludf.DUMMYFUNCTION("""COMPUTED_VALUE"""),"PvZ 2 Chinease")</f>
        <v>PvZ 2 Chinease</v>
      </c>
      <c r="Y289" s="65" t="str">
        <f ca="1">IFERROR(__xludf.DUMMYFUNCTION("""COMPUTED_VALUE"""),"https://static.wikia.nocookie.net/plantsvszombies/images/6/6a/Earthstar_Nuclear_Silo2.png/revision/latest?cb=20210526043408")</f>
        <v>https://static.wikia.nocookie.net/plantsvszombies/images/6/6a/Earthstar_Nuclear_Silo2.png/revision/latest?cb=20210526043408</v>
      </c>
    </row>
    <row r="290" spans="1:25" x14ac:dyDescent="0.2">
      <c r="A290" s="64">
        <f ca="1">IFERROR(__xludf.DUMMYFUNCTION("""COMPUTED_VALUE"""),86)</f>
        <v>86</v>
      </c>
      <c r="B290" s="64" t="str">
        <f ca="1">IFERROR(__xludf.DUMMYFUNCTION("""COMPUTED_VALUE"""),"Celebration Soda Palm")</f>
        <v>Celebration Soda Palm</v>
      </c>
      <c r="C290" s="64" t="str">
        <f ca="1">IFERROR(__xludf.DUMMYFUNCTION("""COMPUTED_VALUE"""),"Palmeira Garrafa Celebrante")</f>
        <v>Palmeira Garrafa Celebrante</v>
      </c>
      <c r="D290" s="64" t="str">
        <f ca="1">IFERROR(__xludf.DUMMYFUNCTION("""COMPUTED_VALUE"""),"Endurecida")</f>
        <v>Endurecida</v>
      </c>
      <c r="E290" s="64" t="str">
        <f ca="1">IFERROR(__xludf.DUMMYFUNCTION("""COMPUTED_VALUE"""),"After being damaged for a certain amount of time, will spray out soda to knock back zombie in front of it")</f>
        <v>After being damaged for a certain amount of time, will spray out soda to knock back zombie in front of it</v>
      </c>
      <c r="F290" s="64">
        <f ca="1">IFERROR(__xludf.DUMMYFUNCTION("""COMPUTED_VALUE"""),125)</f>
        <v>125</v>
      </c>
      <c r="G290" s="64">
        <f ca="1">IFERROR(__xludf.DUMMYFUNCTION("""COMPUTED_VALUE"""),5500)</f>
        <v>5500</v>
      </c>
      <c r="H290" s="64">
        <f ca="1">IFERROR(__xludf.DUMMYFUNCTION("""COMPUTED_VALUE"""),0)</f>
        <v>0</v>
      </c>
      <c r="I290" s="64">
        <f ca="1">IFERROR(__xludf.DUMMYFUNCTION("""COMPUTED_VALUE"""),30)</f>
        <v>30</v>
      </c>
      <c r="J290" s="64" t="str">
        <f ca="1">IFERROR(__xludf.DUMMYFUNCTION("""COMPUTED_VALUE"""),"Celebration Soda Palm immediately restores all the health and sprays a large amount of soda to the right, pushing all zombies in a 3×3 area on the right to the 4 column from the right.")</f>
        <v>Celebration Soda Palm immediately restores all the health and sprays a large amount of soda to the right, pushing all zombies in a 3×3 area on the right to the 4 column from the right.</v>
      </c>
      <c r="K290" s="64" t="str">
        <f ca="1">IFERROR(__xludf.DUMMYFUNCTION("""COMPUTED_VALUE"""),"Attack range 4 tiles to right")</f>
        <v>Attack range 4 tiles to right</v>
      </c>
      <c r="L290" s="64" t="str">
        <f ca="1">IFERROR(__xludf.DUMMYFUNCTION("""COMPUTED_VALUE"""),"Special - Whenever Celebration Soda Palm is attacked, the soda inside will shaken and inflate. After 10 seconds worth of inflation, the soda will burst though the cap on top, knocking back all zombies three tiles in front of it to the fourth tile. The amo"&amp;"unt of time needed to inflate will not be reset if zombie attacks are interrupted.")</f>
        <v>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v>
      </c>
      <c r="M290" s="64" t="b">
        <f ca="1">IFERROR(__xludf.DUMMYFUNCTION("""COMPUTED_VALUE"""),FALSE)</f>
        <v>0</v>
      </c>
      <c r="N290" s="64" t="b">
        <f ca="1">IFERROR(__xludf.DUMMYFUNCTION("""COMPUTED_VALUE"""),FALSE)</f>
        <v>0</v>
      </c>
      <c r="O290" s="64">
        <f ca="1">IFERROR(__xludf.DUMMYFUNCTION("""COMPUTED_VALUE"""),0)</f>
        <v>0</v>
      </c>
      <c r="P290" s="64" t="str">
        <f ca="1">IFERROR(__xludf.DUMMYFUNCTION("""COMPUTED_VALUE"""),"Legendary")</f>
        <v>Legendary</v>
      </c>
      <c r="Q290" s="64" t="str">
        <f ca="1">IFERROR(__xludf.DUMMYFUNCTION("""COMPUTED_VALUE"""),"control")</f>
        <v>control</v>
      </c>
      <c r="R290" s="64" t="str">
        <f ca="1">IFERROR(__xludf.DUMMYFUNCTION("""COMPUTED_VALUE"""),"Wood")</f>
        <v>Wood</v>
      </c>
      <c r="S290" s="64" t="str">
        <f ca="1">IFERROR(__xludf.DUMMYFUNCTION("""COMPUTED_VALUE"""),"Chinese Sementium")</f>
        <v>Chinese Sementium</v>
      </c>
      <c r="T290" s="64" t="str">
        <f ca="1">IFERROR(__xludf.DUMMYFUNCTION("""COMPUTED_VALUE"""),"None")</f>
        <v>None</v>
      </c>
      <c r="U290" s="64" t="str">
        <f ca="1">IFERROR(__xludf.DUMMYFUNCTION("""COMPUTED_VALUE"""),"None")</f>
        <v>None</v>
      </c>
      <c r="V290" s="64" t="str">
        <f ca="1">IFERROR(__xludf.DUMMYFUNCTION("""COMPUTED_VALUE"""),"---")</f>
        <v>---</v>
      </c>
      <c r="W290" s="64" t="str">
        <f ca="1">IFERROR(__xludf.DUMMYFUNCTION("""COMPUTED_VALUE"""),"Tough")</f>
        <v>Tough</v>
      </c>
      <c r="X290" s="64" t="str">
        <f ca="1">IFERROR(__xludf.DUMMYFUNCTION("""COMPUTED_VALUE"""),"PvZ 2 Chinease")</f>
        <v>PvZ 2 Chinease</v>
      </c>
      <c r="Y290" s="65" t="str">
        <f ca="1">IFERROR(__xludf.DUMMYFUNCTION("""COMPUTED_VALUE"""),"https://static.wikia.nocookie.net/plantsvszombies/images/b/bb/Celebration_Soda_Palm2.png/revision/latest?cb=20210816072216")</f>
        <v>https://static.wikia.nocookie.net/plantsvszombies/images/b/bb/Celebration_Soda_Palm2.png/revision/latest?cb=20210816072216</v>
      </c>
    </row>
    <row r="291" spans="1:25" x14ac:dyDescent="0.2">
      <c r="A291" s="64">
        <f ca="1">IFERROR(__xludf.DUMMYFUNCTION("""COMPUTED_VALUE"""),87)</f>
        <v>87</v>
      </c>
      <c r="B291" s="64" t="str">
        <f ca="1">IFERROR(__xludf.DUMMYFUNCTION("""COMPUTED_VALUE"""),"Impatiens Shooter")</f>
        <v>Impatiens Shooter</v>
      </c>
      <c r="C291" s="64" t="str">
        <f ca="1">IFERROR(__xludf.DUMMYFUNCTION("""COMPUTED_VALUE"""),"Dispara-sem-vergonha")</f>
        <v>Dispara-sem-vergonha</v>
      </c>
      <c r="D291" s="64" t="str">
        <f ca="1">IFERROR(__xludf.DUMMYFUNCTION("""COMPUTED_VALUE"""),"Refrea")</f>
        <v>Refrea</v>
      </c>
      <c r="E291" s="64" t="str">
        <f ca="1">IFERROR(__xludf.DUMMYFUNCTION("""COMPUTED_VALUE"""),"Spits out dye bullets to attack the zombies ahead")</f>
        <v>Spits out dye bullets to attack the zombies ahead</v>
      </c>
      <c r="F291" s="64">
        <f ca="1">IFERROR(__xludf.DUMMYFUNCTION("""COMPUTED_VALUE"""),200)</f>
        <v>200</v>
      </c>
      <c r="G291" s="64">
        <f ca="1">IFERROR(__xludf.DUMMYFUNCTION("""COMPUTED_VALUE"""),300)</f>
        <v>300</v>
      </c>
      <c r="H291" s="64">
        <f ca="1">IFERROR(__xludf.DUMMYFUNCTION("""COMPUTED_VALUE"""),60)</f>
        <v>60</v>
      </c>
      <c r="I291" s="64">
        <f ca="1">IFERROR(__xludf.DUMMYFUNCTION("""COMPUTED_VALUE"""),45784)</f>
        <v>45784</v>
      </c>
      <c r="J291" s="64" t="str">
        <f ca="1">IFERROR(__xludf.DUMMYFUNCTION("""COMPUTED_VALUE"""),"Impatiens Shooter enters the next phase via recolouring, consecutively shooting dye of corresponding colour to the right, dealing damage to zombies.")</f>
        <v>Impatiens Shooter enters the next phase via recolouring, consecutively shooting dye of corresponding colour to the right, dealing damage to zombies.</v>
      </c>
      <c r="K291" s="64" t="str">
        <f ca="1">IFERROR(__xludf.DUMMYFUNCTION("""COMPUTED_VALUE"""),"Attack range 1 row ahead")</f>
        <v>Attack range 1 row ahead</v>
      </c>
      <c r="L291" s="64" t="str">
        <f ca="1">IFERROR(__xludf.DUMMYFUNCTION("""COMPUTED_VALUE"""),"Special - Spits out dye bullets to attack zombies in front of them. After a period of time, they will dye themselves to shoot more powerful bullets.")</f>
        <v>Special - Spits out dye bullets to attack zombies in front of them. After a period of time, they will dye themselves to shoot more powerful bullets.</v>
      </c>
      <c r="M291" s="64" t="b">
        <f ca="1">IFERROR(__xludf.DUMMYFUNCTION("""COMPUTED_VALUE"""),FALSE)</f>
        <v>0</v>
      </c>
      <c r="N291" s="64" t="b">
        <f ca="1">IFERROR(__xludf.DUMMYFUNCTION("""COMPUTED_VALUE"""),FALSE)</f>
        <v>0</v>
      </c>
      <c r="O291" s="64">
        <f ca="1">IFERROR(__xludf.DUMMYFUNCTION("""COMPUTED_VALUE"""),0)</f>
        <v>0</v>
      </c>
      <c r="P291" s="64" t="str">
        <f ca="1">IFERROR(__xludf.DUMMYFUNCTION("""COMPUTED_VALUE"""),"Legendary")</f>
        <v>Legendary</v>
      </c>
      <c r="Q291" s="64" t="str">
        <f ca="1">IFERROR(__xludf.DUMMYFUNCTION("""COMPUTED_VALUE"""),"control, slowing, stun")</f>
        <v>control, slowing, stun</v>
      </c>
      <c r="R291" s="64" t="str">
        <f ca="1">IFERROR(__xludf.DUMMYFUNCTION("""COMPUTED_VALUE"""),"Flower")</f>
        <v>Flower</v>
      </c>
      <c r="S291" s="64" t="str">
        <f ca="1">IFERROR(__xludf.DUMMYFUNCTION("""COMPUTED_VALUE"""),"Chinese Sementium")</f>
        <v>Chinese Sementium</v>
      </c>
      <c r="T291" s="64" t="str">
        <f ca="1">IFERROR(__xludf.DUMMYFUNCTION("""COMPUTED_VALUE"""),"None")</f>
        <v>None</v>
      </c>
      <c r="U291" s="64" t="str">
        <f ca="1">IFERROR(__xludf.DUMMYFUNCTION("""COMPUTED_VALUE"""),"None")</f>
        <v>None</v>
      </c>
      <c r="V291" s="64" t="str">
        <f ca="1">IFERROR(__xludf.DUMMYFUNCTION("""COMPUTED_VALUE"""),"---")</f>
        <v>---</v>
      </c>
      <c r="W291" s="64" t="str">
        <f ca="1">IFERROR(__xludf.DUMMYFUNCTION("""COMPUTED_VALUE"""),"Ranged")</f>
        <v>Ranged</v>
      </c>
      <c r="X291" s="64" t="str">
        <f ca="1">IFERROR(__xludf.DUMMYFUNCTION("""COMPUTED_VALUE"""),"PvZ 2 Chinease")</f>
        <v>PvZ 2 Chinease</v>
      </c>
      <c r="Y291" s="65" t="str">
        <f ca="1">IFERROR(__xludf.DUMMYFUNCTION("""COMPUTED_VALUE"""),"https://static.wikia.nocookie.net/plantsvszombies/images/0/0c/Impatiens_Shooter2.png/revision/latest?cb=20211018030240")</f>
        <v>https://static.wikia.nocookie.net/plantsvszombies/images/0/0c/Impatiens_Shooter2.png/revision/latest?cb=20211018030240</v>
      </c>
    </row>
    <row r="292" spans="1:25" x14ac:dyDescent="0.2">
      <c r="A292" s="64">
        <f ca="1">IFERROR(__xludf.DUMMYFUNCTION("""COMPUTED_VALUE"""),88)</f>
        <v>88</v>
      </c>
      <c r="B292" s="64" t="str">
        <f ca="1">IFERROR(__xludf.DUMMYFUNCTION("""COMPUTED_VALUE"""),"Tiger Claw")</f>
        <v>Tiger Claw</v>
      </c>
      <c r="C292" s="64" t="str">
        <f ca="1">IFERROR(__xludf.DUMMYFUNCTION("""COMPUTED_VALUE"""),"Garras de Tigre")</f>
        <v>Garras de Tigre</v>
      </c>
      <c r="D292" s="64" t="str">
        <f ca="1">IFERROR(__xludf.DUMMYFUNCTION("""COMPUTED_VALUE"""),"Surra")</f>
        <v>Surra</v>
      </c>
      <c r="E292" s="64" t="str">
        <f ca="1">IFERROR(__xludf.DUMMYFUNCTION("""COMPUTED_VALUE"""),"Grabs the first zombie it encounters to use as a shield")</f>
        <v>Grabs the first zombie it encounters to use as a shield</v>
      </c>
      <c r="F292" s="64">
        <f ca="1">IFERROR(__xludf.DUMMYFUNCTION("""COMPUTED_VALUE"""),200)</f>
        <v>200</v>
      </c>
      <c r="G292" s="64">
        <f ca="1">IFERROR(__xludf.DUMMYFUNCTION("""COMPUTED_VALUE"""),300)</f>
        <v>300</v>
      </c>
      <c r="H292" s="64">
        <f ca="1">IFERROR(__xludf.DUMMYFUNCTION("""COMPUTED_VALUE"""),30)</f>
        <v>30</v>
      </c>
      <c r="I292" s="64">
        <f ca="1">IFERROR(__xludf.DUMMYFUNCTION("""COMPUTED_VALUE"""),5)</f>
        <v>5</v>
      </c>
      <c r="J292" s="64" t="str">
        <f ca="1">IFERROR(__xludf.DUMMYFUNCTION("""COMPUTED_VALUE"""),"Claw Gloriosa attracts at most 5 zombies from a 3×3 region to the right, moving them to a tile on the right, to use a charged punch, dealing damage to all the zombies and knocking them back for 3 tiles.")</f>
        <v>Claw Gloriosa attracts at most 5 zombies from a 3×3 region to the right, moving them to a tile on the right, to use a charged punch, dealing damage to all the zombies and knocking them back for 3 tiles.</v>
      </c>
      <c r="K292" s="64" t="str">
        <f ca="1">IFERROR(__xludf.DUMMYFUNCTION("""COMPUTED_VALUE"""),"Grab's rests 30 seconds")</f>
        <v>Grab's rests 30 seconds</v>
      </c>
      <c r="L292" s="64" t="str">
        <f ca="1">IFERROR(__xludf.DUMMYFUNCTION("""COMPUTED_VALUE"""),"Special - Grabs the closest zombie to use as a shield, and punches other zombies at the same time.")</f>
        <v>Special - Grabs the closest zombie to use as a shield, and punches other zombies at the same time.</v>
      </c>
      <c r="M292" s="64" t="b">
        <f ca="1">IFERROR(__xludf.DUMMYFUNCTION("""COMPUTED_VALUE"""),FALSE)</f>
        <v>0</v>
      </c>
      <c r="N292" s="64" t="b">
        <f ca="1">IFERROR(__xludf.DUMMYFUNCTION("""COMPUTED_VALUE"""),FALSE)</f>
        <v>0</v>
      </c>
      <c r="O292" s="64">
        <f ca="1">IFERROR(__xludf.DUMMYFUNCTION("""COMPUTED_VALUE"""),0)</f>
        <v>0</v>
      </c>
      <c r="P292" s="64" t="str">
        <f ca="1">IFERROR(__xludf.DUMMYFUNCTION("""COMPUTED_VALUE"""),"Legendary")</f>
        <v>Legendary</v>
      </c>
      <c r="Q292" s="64"/>
      <c r="R292" s="64" t="str">
        <f ca="1">IFERROR(__xludf.DUMMYFUNCTION("""COMPUTED_VALUE"""),"Flower")</f>
        <v>Flower</v>
      </c>
      <c r="S292" s="64" t="str">
        <f ca="1">IFERROR(__xludf.DUMMYFUNCTION("""COMPUTED_VALUE"""),"Chinese Sementium")</f>
        <v>Chinese Sementium</v>
      </c>
      <c r="T292" s="64" t="str">
        <f ca="1">IFERROR(__xludf.DUMMYFUNCTION("""COMPUTED_VALUE"""),"None")</f>
        <v>None</v>
      </c>
      <c r="U292" s="64" t="str">
        <f ca="1">IFERROR(__xludf.DUMMYFUNCTION("""COMPUTED_VALUE"""),"None")</f>
        <v>None</v>
      </c>
      <c r="V292" s="64" t="str">
        <f ca="1">IFERROR(__xludf.DUMMYFUNCTION("""COMPUTED_VALUE"""),"---")</f>
        <v>---</v>
      </c>
      <c r="W292" s="64" t="str">
        <f ca="1">IFERROR(__xludf.DUMMYFUNCTION("""COMPUTED_VALUE"""),"Vanguard")</f>
        <v>Vanguard</v>
      </c>
      <c r="X292" s="64" t="str">
        <f ca="1">IFERROR(__xludf.DUMMYFUNCTION("""COMPUTED_VALUE"""),"PvZ 2 Chinease")</f>
        <v>PvZ 2 Chinease</v>
      </c>
      <c r="Y292" s="65" t="str">
        <f ca="1">IFERROR(__xludf.DUMMYFUNCTION("""COMPUTED_VALUE"""),"https://static.wikia.nocookie.net/plantsvszombies/images/5/59/Tiger_Claw2.png/revision/latest?cb=20211018033803")</f>
        <v>https://static.wikia.nocookie.net/plantsvszombies/images/5/59/Tiger_Claw2.png/revision/latest?cb=20211018033803</v>
      </c>
    </row>
    <row r="293" spans="1:25" x14ac:dyDescent="0.2">
      <c r="A293" s="64">
        <f ca="1">IFERROR(__xludf.DUMMYFUNCTION("""COMPUTED_VALUE"""),89)</f>
        <v>89</v>
      </c>
      <c r="B293" s="64" t="str">
        <f ca="1">IFERROR(__xludf.DUMMYFUNCTION("""COMPUTED_VALUE"""),"Hammer Flower")</f>
        <v>Hammer Flower</v>
      </c>
      <c r="C293" s="64" t="str">
        <f ca="1">IFERROR(__xludf.DUMMYFUNCTION("""COMPUTED_VALUE"""),"Flor Martelo")</f>
        <v>Flor Martelo</v>
      </c>
      <c r="D293" s="64" t="str">
        <f ca="1">IFERROR(__xludf.DUMMYFUNCTION("""COMPUTED_VALUE"""),"Surra")</f>
        <v>Surra</v>
      </c>
      <c r="E293" s="64" t="str">
        <f ca="1">IFERROR(__xludf.DUMMYFUNCTION("""COMPUTED_VALUE"""),"Can hammer zombies into the the ground when attacking.")</f>
        <v>Can hammer zombies into the the ground when attacking.</v>
      </c>
      <c r="F293" s="64">
        <f ca="1">IFERROR(__xludf.DUMMYFUNCTION("""COMPUTED_VALUE"""),150)</f>
        <v>150</v>
      </c>
      <c r="G293" s="64">
        <f ca="1">IFERROR(__xludf.DUMMYFUNCTION("""COMPUTED_VALUE"""),1000)</f>
        <v>1000</v>
      </c>
      <c r="H293" s="64">
        <f ca="1">IFERROR(__xludf.DUMMYFUNCTION("""COMPUTED_VALUE"""),100)</f>
        <v>100</v>
      </c>
      <c r="I293" s="64">
        <f ca="1">IFERROR(__xludf.DUMMYFUNCTION("""COMPUTED_VALUE"""),5)</f>
        <v>5</v>
      </c>
      <c r="J293" s="64" t="str">
        <f ca="1">IFERROR(__xludf.DUMMYFUNCTION("""COMPUTED_VALUE"""),"Hammer Flower throws the hammer into the air, which falls as a giant hammer, dealing damage to all zombies in a 3×3 area to the right, trapping small-to-medium sized zombies in the ground for 3 seconds, stunning large-sized zombies for 3 seconds.")</f>
        <v>Hammer Flower throws the hammer into the air, which falls as a giant hammer, dealing damage to all zombies in a 3×3 area to the right, trapping small-to-medium sized zombies in the ground for 3 seconds, stunning large-sized zombies for 3 seconds.</v>
      </c>
      <c r="K293" s="64"/>
      <c r="L293" s="64" t="str">
        <f ca="1">IFERROR(__xludf.DUMMYFUNCTION("""COMPUTED_VALUE"""),"Special - Hammers zombies into the ground to causing a powerful stun effect, and can directly defeat a zombie in seconds")</f>
        <v>Special - Hammers zombies into the ground to causing a powerful stun effect, and can directly defeat a zombie in seconds</v>
      </c>
      <c r="M293" s="64" t="b">
        <f ca="1">IFERROR(__xludf.DUMMYFUNCTION("""COMPUTED_VALUE"""),FALSE)</f>
        <v>0</v>
      </c>
      <c r="N293" s="64" t="b">
        <f ca="1">IFERROR(__xludf.DUMMYFUNCTION("""COMPUTED_VALUE"""),FALSE)</f>
        <v>0</v>
      </c>
      <c r="O293" s="64">
        <f ca="1">IFERROR(__xludf.DUMMYFUNCTION("""COMPUTED_VALUE"""),0)</f>
        <v>0</v>
      </c>
      <c r="P293" s="64" t="str">
        <f ca="1">IFERROR(__xludf.DUMMYFUNCTION("""COMPUTED_VALUE"""),"Legendary")</f>
        <v>Legendary</v>
      </c>
      <c r="Q293" s="64" t="str">
        <f ca="1">IFERROR(__xludf.DUMMYFUNCTION("""COMPUTED_VALUE"""),"control, area-effect")</f>
        <v>control, area-effect</v>
      </c>
      <c r="R293" s="64" t="str">
        <f ca="1">IFERROR(__xludf.DUMMYFUNCTION("""COMPUTED_VALUE"""),"Flower")</f>
        <v>Flower</v>
      </c>
      <c r="S293" s="64" t="str">
        <f ca="1">IFERROR(__xludf.DUMMYFUNCTION("""COMPUTED_VALUE"""),"Chinese Sementium")</f>
        <v>Chinese Sementium</v>
      </c>
      <c r="T293" s="64" t="str">
        <f ca="1">IFERROR(__xludf.DUMMYFUNCTION("""COMPUTED_VALUE"""),"None")</f>
        <v>None</v>
      </c>
      <c r="U293" s="64" t="str">
        <f ca="1">IFERROR(__xludf.DUMMYFUNCTION("""COMPUTED_VALUE"""),"None")</f>
        <v>None</v>
      </c>
      <c r="V293" s="64" t="str">
        <f ca="1">IFERROR(__xludf.DUMMYFUNCTION("""COMPUTED_VALUE"""),"---")</f>
        <v>---</v>
      </c>
      <c r="W293" s="64" t="str">
        <f ca="1">IFERROR(__xludf.DUMMYFUNCTION("""COMPUTED_VALUE"""),"Vanguard")</f>
        <v>Vanguard</v>
      </c>
      <c r="X293" s="64" t="str">
        <f ca="1">IFERROR(__xludf.DUMMYFUNCTION("""COMPUTED_VALUE"""),"PvZ 2 Chinease")</f>
        <v>PvZ 2 Chinease</v>
      </c>
      <c r="Y293" s="65" t="str">
        <f ca="1">IFERROR(__xludf.DUMMYFUNCTION("""COMPUTED_VALUE"""),"https://static.wikia.nocookie.net/plantsvszombies/images/7/75/Hammer_Flower2.png/revision/latest?cb=20211205022154")</f>
        <v>https://static.wikia.nocookie.net/plantsvszombies/images/7/75/Hammer_Flower2.png/revision/latest?cb=20211205022154</v>
      </c>
    </row>
    <row r="294" spans="1:25" x14ac:dyDescent="0.2">
      <c r="A294" s="64">
        <f ca="1">IFERROR(__xludf.DUMMYFUNCTION("""COMPUTED_VALUE"""),90)</f>
        <v>90</v>
      </c>
      <c r="B294" s="64" t="str">
        <f ca="1">IFERROR(__xludf.DUMMYFUNCTION("""COMPUTED_VALUE"""),"Fishhook Grass")</f>
        <v>Fishhook Grass</v>
      </c>
      <c r="C294" s="64" t="str">
        <f ca="1">IFERROR(__xludf.DUMMYFUNCTION("""COMPUTED_VALUE"""),"Grama Anzol")</f>
        <v>Grama Anzol</v>
      </c>
      <c r="D294" s="64" t="str">
        <f ca="1">IFERROR(__xludf.DUMMYFUNCTION("""COMPUTED_VALUE"""),"Surra")</f>
        <v>Surra</v>
      </c>
      <c r="E294" s="64" t="str">
        <f ca="1">IFERROR(__xludf.DUMMYFUNCTION("""COMPUTED_VALUE"""),"When attacking, Fishhook Grass can reel in and throw back zombies.")</f>
        <v>When attacking, Fishhook Grass can reel in and throw back zombies.</v>
      </c>
      <c r="F294" s="64">
        <f ca="1">IFERROR(__xludf.DUMMYFUNCTION("""COMPUTED_VALUE"""),150)</f>
        <v>150</v>
      </c>
      <c r="G294" s="64">
        <f ca="1">IFERROR(__xludf.DUMMYFUNCTION("""COMPUTED_VALUE"""),400)</f>
        <v>400</v>
      </c>
      <c r="H294" s="64">
        <f ca="1">IFERROR(__xludf.DUMMYFUNCTION("""COMPUTED_VALUE"""),300)</f>
        <v>300</v>
      </c>
      <c r="I294" s="64">
        <f ca="1">IFERROR(__xludf.DUMMYFUNCTION("""COMPUTED_VALUE"""),5)</f>
        <v>5</v>
      </c>
      <c r="J294" s="64" t="str">
        <f ca="1">IFERROR(__xludf.DUMMYFUNCTION("""COMPUTED_VALUE"""),"Fishhook Grass fires multiple fishhooks at once, pulling the closest zombie to the plant and damage it, afterwards throwing it away forcefully. Deals massive damage to the zombie if it can't be hooked.")</f>
        <v>Fishhook Grass fires multiple fishhooks at once, pulling the closest zombie to the plant and damage it, afterwards throwing it away forcefully. Deals massive damage to the zombie if it can't be hooked.</v>
      </c>
      <c r="K294" s="64" t="str">
        <f ca="1">IFERROR(__xludf.DUMMYFUNCTION("""COMPUTED_VALUE"""),"attack's rests 15 seconds")</f>
        <v>attack's rests 15 seconds</v>
      </c>
      <c r="L294" s="64" t="str">
        <f ca="1">IFERROR(__xludf.DUMMYFUNCTION("""COMPUTED_VALUE"""),"Special - Catches zombies and throws them out, dealing damage and stunning the first zombie the catch collodes with.")</f>
        <v>Special - Catches zombies and throws them out, dealing damage and stunning the first zombie the catch collodes with.</v>
      </c>
      <c r="M294" s="64" t="b">
        <f ca="1">IFERROR(__xludf.DUMMYFUNCTION("""COMPUTED_VALUE"""),FALSE)</f>
        <v>0</v>
      </c>
      <c r="N294" s="64" t="b">
        <f ca="1">IFERROR(__xludf.DUMMYFUNCTION("""COMPUTED_VALUE"""),FALSE)</f>
        <v>0</v>
      </c>
      <c r="O294" s="64">
        <f ca="1">IFERROR(__xludf.DUMMYFUNCTION("""COMPUTED_VALUE"""),0)</f>
        <v>0</v>
      </c>
      <c r="P294" s="64" t="str">
        <f ca="1">IFERROR(__xludf.DUMMYFUNCTION("""COMPUTED_VALUE"""),"Legendary")</f>
        <v>Legendary</v>
      </c>
      <c r="Q294" s="64" t="str">
        <f ca="1">IFERROR(__xludf.DUMMYFUNCTION("""COMPUTED_VALUE"""),"control")</f>
        <v>control</v>
      </c>
      <c r="R294" s="64" t="str">
        <f ca="1">IFERROR(__xludf.DUMMYFUNCTION("""COMPUTED_VALUE"""),"Flower")</f>
        <v>Flower</v>
      </c>
      <c r="S294" s="64" t="str">
        <f ca="1">IFERROR(__xludf.DUMMYFUNCTION("""COMPUTED_VALUE"""),"Chinese Sementium")</f>
        <v>Chinese Sementium</v>
      </c>
      <c r="T294" s="64" t="str">
        <f ca="1">IFERROR(__xludf.DUMMYFUNCTION("""COMPUTED_VALUE"""),"None")</f>
        <v>None</v>
      </c>
      <c r="U294" s="64" t="str">
        <f ca="1">IFERROR(__xludf.DUMMYFUNCTION("""COMPUTED_VALUE"""),"None")</f>
        <v>None</v>
      </c>
      <c r="V294" s="64" t="str">
        <f ca="1">IFERROR(__xludf.DUMMYFUNCTION("""COMPUTED_VALUE"""),"---")</f>
        <v>---</v>
      </c>
      <c r="W294" s="64" t="str">
        <f ca="1">IFERROR(__xludf.DUMMYFUNCTION("""COMPUTED_VALUE"""),"Vanguard")</f>
        <v>Vanguard</v>
      </c>
      <c r="X294" s="64" t="str">
        <f ca="1">IFERROR(__xludf.DUMMYFUNCTION("""COMPUTED_VALUE"""),"PvZ 2 Chinease")</f>
        <v>PvZ 2 Chinease</v>
      </c>
      <c r="Y294" s="65" t="str">
        <f ca="1">IFERROR(__xludf.DUMMYFUNCTION("""COMPUTED_VALUE"""),"https://static.wikia.nocookie.net/plantsvszombies/images/9/9f/Fishhook_Grass2.png/revision/latest?cb=20211205022802")</f>
        <v>https://static.wikia.nocookie.net/plantsvszombies/images/9/9f/Fishhook_Grass2.png/revision/latest?cb=20211205022802</v>
      </c>
    </row>
    <row r="295" spans="1:25" x14ac:dyDescent="0.2">
      <c r="A295" s="64">
        <f ca="1">IFERROR(__xludf.DUMMYFUNCTION("""COMPUTED_VALUE"""),91)</f>
        <v>91</v>
      </c>
      <c r="B295" s="64" t="str">
        <f ca="1">IFERROR(__xludf.DUMMYFUNCTION("""COMPUTED_VALUE"""),"Mangosteen")</f>
        <v>Mangosteen</v>
      </c>
      <c r="C295" s="64" t="str">
        <f ca="1">IFERROR(__xludf.DUMMYFUNCTION("""COMPUTED_VALUE"""),"Mangostão")</f>
        <v>Mangostão</v>
      </c>
      <c r="D295" s="64" t="str">
        <f ca="1">IFERROR(__xludf.DUMMYFUNCTION("""COMPUTED_VALUE"""),"Fila")</f>
        <v>Fila</v>
      </c>
      <c r="E295" s="64" t="str">
        <f ca="1">IFERROR(__xludf.DUMMYFUNCTION("""COMPUTED_VALUE"""),"Emits a ring of electricity around itself.")</f>
        <v>Emits a ring of electricity around itself.</v>
      </c>
      <c r="F295" s="64">
        <f ca="1">IFERROR(__xludf.DUMMYFUNCTION("""COMPUTED_VALUE"""),150)</f>
        <v>150</v>
      </c>
      <c r="G295" s="64">
        <f ca="1">IFERROR(__xludf.DUMMYFUNCTION("""COMPUTED_VALUE"""),300)</f>
        <v>300</v>
      </c>
      <c r="H295" s="64">
        <f ca="1">IFERROR(__xludf.DUMMYFUNCTION("""COMPUTED_VALUE"""),200)</f>
        <v>200</v>
      </c>
      <c r="I295" s="64">
        <f ca="1">IFERROR(__xludf.DUMMYFUNCTION("""COMPUTED_VALUE"""),5)</f>
        <v>5</v>
      </c>
      <c r="J295" s="64" t="str">
        <f ca="1">IFERROR(__xludf.DUMMYFUNCTION("""COMPUTED_VALUE"""),"Lightning strikes from the sky, energy stored by Mangosteen overflowers, unleashing a ring of electricity that spreads outwards which covers a 5×5 region, dealing great electrical damage to all zombies which come into contact with it.")</f>
        <v>Lightning strikes from the sky, energy stored by Mangosteen overflowers, unleashing a ring of electricity that spreads outwards which covers a 5×5 region, dealing great electrical damage to all zombies which come into contact with it.</v>
      </c>
      <c r="K295" s="64" t="str">
        <f ca="1">IFERROR(__xludf.DUMMYFUNCTION("""COMPUTED_VALUE"""),"Attack range 3x3 area around itself")</f>
        <v>Attack range 3x3 area around itself</v>
      </c>
      <c r="L295" s="64" t="str">
        <f ca="1">IFERROR(__xludf.DUMMYFUNCTION("""COMPUTED_VALUE"""),"Special - Emits a ring of electricity to attack surrounding zombies, grows overtime after being planted")</f>
        <v>Special - Emits a ring of electricity to attack surrounding zombies, grows overtime after being planted</v>
      </c>
      <c r="M295" s="64" t="b">
        <f ca="1">IFERROR(__xludf.DUMMYFUNCTION("""COMPUTED_VALUE"""),FALSE)</f>
        <v>0</v>
      </c>
      <c r="N295" s="64" t="b">
        <f ca="1">IFERROR(__xludf.DUMMYFUNCTION("""COMPUTED_VALUE"""),FALSE)</f>
        <v>0</v>
      </c>
      <c r="O295" s="64">
        <f ca="1">IFERROR(__xludf.DUMMYFUNCTION("""COMPUTED_VALUE"""),0)</f>
        <v>0</v>
      </c>
      <c r="P295" s="64" t="str">
        <f ca="1">IFERROR(__xludf.DUMMYFUNCTION("""COMPUTED_VALUE"""),"Legendary")</f>
        <v>Legendary</v>
      </c>
      <c r="Q295" s="64" t="str">
        <f ca="1">IFERROR(__xludf.DUMMYFUNCTION("""COMPUTED_VALUE"""),"control, area-effect, chain_attack")</f>
        <v>control, area-effect, chain_attack</v>
      </c>
      <c r="R295" s="64" t="str">
        <f ca="1">IFERROR(__xludf.DUMMYFUNCTION("""COMPUTED_VALUE"""),"Fruit")</f>
        <v>Fruit</v>
      </c>
      <c r="S295" s="64" t="str">
        <f ca="1">IFERROR(__xludf.DUMMYFUNCTION("""COMPUTED_VALUE"""),"Chinese Sementium")</f>
        <v>Chinese Sementium</v>
      </c>
      <c r="T295" s="64" t="str">
        <f ca="1">IFERROR(__xludf.DUMMYFUNCTION("""COMPUTED_VALUE"""),"None")</f>
        <v>None</v>
      </c>
      <c r="U295" s="64" t="str">
        <f ca="1">IFERROR(__xludf.DUMMYFUNCTION("""COMPUTED_VALUE"""),"None")</f>
        <v>None</v>
      </c>
      <c r="V295" s="64" t="str">
        <f ca="1">IFERROR(__xludf.DUMMYFUNCTION("""COMPUTED_VALUE"""),"---")</f>
        <v>---</v>
      </c>
      <c r="W295" s="64" t="str">
        <f ca="1">IFERROR(__xludf.DUMMYFUNCTION("""COMPUTED_VALUE"""),"Vanguard")</f>
        <v>Vanguard</v>
      </c>
      <c r="X295" s="64" t="str">
        <f ca="1">IFERROR(__xludf.DUMMYFUNCTION("""COMPUTED_VALUE"""),"PvZ 2 Chinease")</f>
        <v>PvZ 2 Chinease</v>
      </c>
      <c r="Y295" s="65" t="str">
        <f ca="1">IFERROR(__xludf.DUMMYFUNCTION("""COMPUTED_VALUE"""),"https://static.wikia.nocookie.net/plantsvszombies/images/d/d7/Mangosteen2.png/revision/latest?cb=20211222225341")</f>
        <v>https://static.wikia.nocookie.net/plantsvszombies/images/d/d7/Mangosteen2.png/revision/latest?cb=20211222225341</v>
      </c>
    </row>
    <row r="296" spans="1:25" x14ac:dyDescent="0.2">
      <c r="A296" s="64">
        <f ca="1">IFERROR(__xludf.DUMMYFUNCTION("""COMPUTED_VALUE"""),92)</f>
        <v>92</v>
      </c>
      <c r="B296" s="64" t="str">
        <f ca="1">IFERROR(__xludf.DUMMYFUNCTION("""COMPUTED_VALUE"""),"Tigerstool")</f>
        <v>Tigerstool</v>
      </c>
      <c r="C296" s="64" t="str">
        <f ca="1">IFERROR(__xludf.DUMMYFUNCTION("""COMPUTED_VALUE"""),"Tigrogumelo")</f>
        <v>Tigrogumelo</v>
      </c>
      <c r="D296" s="64" t="str">
        <f ca="1">IFERROR(__xludf.DUMMYFUNCTION("""COMPUTED_VALUE"""),"Surra")</f>
        <v>Surra</v>
      </c>
      <c r="E296" s="64" t="str">
        <f ca="1">IFERROR(__xludf.DUMMYFUNCTION("""COMPUTED_VALUE"""),"Stuns the zombies ahead with a roar, then sends out phantoms to attack.")</f>
        <v>Stuns the zombies ahead with a roar, then sends out phantoms to attack.</v>
      </c>
      <c r="F296" s="64">
        <f ca="1">IFERROR(__xludf.DUMMYFUNCTION("""COMPUTED_VALUE"""),250)</f>
        <v>250</v>
      </c>
      <c r="G296" s="64">
        <f ca="1">IFERROR(__xludf.DUMMYFUNCTION("""COMPUTED_VALUE"""),1000)</f>
        <v>1000</v>
      </c>
      <c r="H296" s="64">
        <f ca="1">IFERROR(__xludf.DUMMYFUNCTION("""COMPUTED_VALUE"""),80)</f>
        <v>80</v>
      </c>
      <c r="I296" s="64">
        <f ca="1">IFERROR(__xludf.DUMMYFUNCTION("""COMPUTED_VALUE"""),15)</f>
        <v>15</v>
      </c>
      <c r="J296" s="64" t="str">
        <f ca="1">IFERROR(__xludf.DUMMYFUNCTION("""COMPUTED_VALUE"""),"Tigerstool opens the maw to deal massive damage to zombies in a 3×3 to the right via biting.")</f>
        <v>Tigerstool opens the maw to deal massive damage to zombies in a 3×3 to the right via biting.</v>
      </c>
      <c r="K296" s="64" t="str">
        <f ca="1">IFERROR(__xludf.DUMMYFUNCTION("""COMPUTED_VALUE"""),"Attack range 2x3 tiles ahead")</f>
        <v>Attack range 2x3 tiles ahead</v>
      </c>
      <c r="L296" s="64" t="str">
        <f ca="1">IFERROR(__xludf.DUMMYFUNCTION("""COMPUTED_VALUE"""),"Special - Stuns the zombies ahead with a roar, then sends out several phantoms to attack zombies in multiple directions.")</f>
        <v>Special - Stuns the zombies ahead with a roar, then sends out several phantoms to attack zombies in multiple directions.</v>
      </c>
      <c r="M296" s="64" t="b">
        <f ca="1">IFERROR(__xludf.DUMMYFUNCTION("""COMPUTED_VALUE"""),FALSE)</f>
        <v>0</v>
      </c>
      <c r="N296" s="64" t="b">
        <f ca="1">IFERROR(__xludf.DUMMYFUNCTION("""COMPUTED_VALUE"""),FALSE)</f>
        <v>0</v>
      </c>
      <c r="O296" s="64">
        <f ca="1">IFERROR(__xludf.DUMMYFUNCTION("""COMPUTED_VALUE"""),0)</f>
        <v>0</v>
      </c>
      <c r="P296" s="64" t="str">
        <f ca="1">IFERROR(__xludf.DUMMYFUNCTION("""COMPUTED_VALUE"""),"Legendary")</f>
        <v>Legendary</v>
      </c>
      <c r="Q296" s="64" t="str">
        <f ca="1">IFERROR(__xludf.DUMMYFUNCTION("""COMPUTED_VALUE"""),"control, area-effect, zodiac")</f>
        <v>control, area-effect, zodiac</v>
      </c>
      <c r="R296" s="64" t="str">
        <f ca="1">IFERROR(__xludf.DUMMYFUNCTION("""COMPUTED_VALUE"""),"Murshroom")</f>
        <v>Murshroom</v>
      </c>
      <c r="S296" s="64" t="str">
        <f ca="1">IFERROR(__xludf.DUMMYFUNCTION("""COMPUTED_VALUE"""),"Chinese Sementium")</f>
        <v>Chinese Sementium</v>
      </c>
      <c r="T296" s="64" t="str">
        <f ca="1">IFERROR(__xludf.DUMMYFUNCTION("""COMPUTED_VALUE"""),"None")</f>
        <v>None</v>
      </c>
      <c r="U296" s="64" t="str">
        <f ca="1">IFERROR(__xludf.DUMMYFUNCTION("""COMPUTED_VALUE"""),"None")</f>
        <v>None</v>
      </c>
      <c r="V296" s="64" t="str">
        <f ca="1">IFERROR(__xludf.DUMMYFUNCTION("""COMPUTED_VALUE"""),"---")</f>
        <v>---</v>
      </c>
      <c r="W296" s="64" t="str">
        <f ca="1">IFERROR(__xludf.DUMMYFUNCTION("""COMPUTED_VALUE"""),"Vanguard")</f>
        <v>Vanguard</v>
      </c>
      <c r="X296" s="64" t="str">
        <f ca="1">IFERROR(__xludf.DUMMYFUNCTION("""COMPUTED_VALUE"""),"PvZ 2 Chinease")</f>
        <v>PvZ 2 Chinease</v>
      </c>
      <c r="Y296" s="65" t="str">
        <f ca="1">IFERROR(__xludf.DUMMYFUNCTION("""COMPUTED_VALUE"""),"https://static.wikia.nocookie.net/plantsvszombies/images/f/f7/Tigerstool2.png/revision/latest?cb=20220125215427")</f>
        <v>https://static.wikia.nocookie.net/plantsvszombies/images/f/f7/Tigerstool2.png/revision/latest?cb=20220125215427</v>
      </c>
    </row>
    <row r="297" spans="1:25" x14ac:dyDescent="0.2">
      <c r="A297" s="64">
        <f ca="1">IFERROR(__xludf.DUMMYFUNCTION("""COMPUTED_VALUE"""),93)</f>
        <v>93</v>
      </c>
      <c r="B297" s="64" t="str">
        <f ca="1">IFERROR(__xludf.DUMMYFUNCTION("""COMPUTED_VALUE"""),"Gardener Grass")</f>
        <v>Gardener Grass</v>
      </c>
      <c r="C297" s="64" t="str">
        <f ca="1">IFERROR(__xludf.DUMMYFUNCTION("""COMPUTED_VALUE"""),"Grama Cortadora")</f>
        <v>Grama Cortadora</v>
      </c>
      <c r="D297" s="64" t="str">
        <f ca="1">IFERROR(__xludf.DUMMYFUNCTION("""COMPUTED_VALUE"""),"Perfura")</f>
        <v>Perfura</v>
      </c>
      <c r="E297" s="64" t="str">
        <f ca="1">IFERROR(__xludf.DUMMYFUNCTION("""COMPUTED_VALUE"""),"Uses the hat on its head to attack zombies.")</f>
        <v>Uses the hat on its head to attack zombies.</v>
      </c>
      <c r="F297" s="64">
        <f ca="1">IFERROR(__xludf.DUMMYFUNCTION("""COMPUTED_VALUE"""),200)</f>
        <v>200</v>
      </c>
      <c r="G297" s="64">
        <f ca="1">IFERROR(__xludf.DUMMYFUNCTION("""COMPUTED_VALUE"""),300)</f>
        <v>300</v>
      </c>
      <c r="H297" s="64">
        <f ca="1">IFERROR(__xludf.DUMMYFUNCTION("""COMPUTED_VALUE"""),200)</f>
        <v>200</v>
      </c>
      <c r="I297" s="64">
        <f ca="1">IFERROR(__xludf.DUMMYFUNCTION("""COMPUTED_VALUE"""),5)</f>
        <v>5</v>
      </c>
      <c r="J297" s="64" t="str">
        <f ca="1">IFERROR(__xludf.DUMMYFUNCTION("""COMPUTED_VALUE"""),"Gardener Grass swings the saw held in both hands [sic] to deal damage to zombies in the 3×3 regions on the row above and below. Damaged zombies will keep shaking for 5 seconds. Damage dealt by saws are calculated separately. Saws in both hands [sic] are r"&amp;"eset.
Gardener Grass swings the saw held in both hands [sic] to deal damage to zombies in the 3×3 regions on the row above and below. Damaged zombies will keep shaking for 5 seconds. Damage dealt by saws are calculated separately. Saws in both hands [sic"&amp;"] are reset.")</f>
        <v>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v>
      </c>
      <c r="K297" s="64" t="str">
        <f ca="1">IFERROR(__xludf.DUMMYFUNCTION("""COMPUTED_VALUE"""),"Attack range 1 tile ahead")</f>
        <v>Attack range 1 tile ahead</v>
      </c>
      <c r="L297" s="64" t="str">
        <f ca="1">IFERROR(__xludf.DUMMYFUNCTION("""COMPUTED_VALUE"""),"Special - Attacks with the hat on the head, damaged zombies can have their arms cut")</f>
        <v>Special - Attacks with the hat on the head, damaged zombies can have their arms cut</v>
      </c>
      <c r="M297" s="64" t="b">
        <f ca="1">IFERROR(__xludf.DUMMYFUNCTION("""COMPUTED_VALUE"""),FALSE)</f>
        <v>0</v>
      </c>
      <c r="N297" s="64" t="b">
        <f ca="1">IFERROR(__xludf.DUMMYFUNCTION("""COMPUTED_VALUE"""),FALSE)</f>
        <v>0</v>
      </c>
      <c r="O297" s="64">
        <f ca="1">IFERROR(__xludf.DUMMYFUNCTION("""COMPUTED_VALUE"""),0)</f>
        <v>0</v>
      </c>
      <c r="P297" s="64" t="str">
        <f ca="1">IFERROR(__xludf.DUMMYFUNCTION("""COMPUTED_VALUE"""),"Legendary")</f>
        <v>Legendary</v>
      </c>
      <c r="Q297" s="64" t="str">
        <f ca="1">IFERROR(__xludf.DUMMYFUNCTION("""COMPUTED_VALUE"""),"control, area-effect")</f>
        <v>control, area-effect</v>
      </c>
      <c r="R297" s="64" t="str">
        <f ca="1">IFERROR(__xludf.DUMMYFUNCTION("""COMPUTED_VALUE"""),"Flower")</f>
        <v>Flower</v>
      </c>
      <c r="S297" s="64" t="str">
        <f ca="1">IFERROR(__xludf.DUMMYFUNCTION("""COMPUTED_VALUE"""),"Chinese Sementium")</f>
        <v>Chinese Sementium</v>
      </c>
      <c r="T297" s="64" t="str">
        <f ca="1">IFERROR(__xludf.DUMMYFUNCTION("""COMPUTED_VALUE"""),"None")</f>
        <v>None</v>
      </c>
      <c r="U297" s="64" t="str">
        <f ca="1">IFERROR(__xludf.DUMMYFUNCTION("""COMPUTED_VALUE"""),"None")</f>
        <v>None</v>
      </c>
      <c r="V297" s="64" t="str">
        <f ca="1">IFERROR(__xludf.DUMMYFUNCTION("""COMPUTED_VALUE"""),"---")</f>
        <v>---</v>
      </c>
      <c r="W297" s="64" t="str">
        <f ca="1">IFERROR(__xludf.DUMMYFUNCTION("""COMPUTED_VALUE"""),"Vanguard")</f>
        <v>Vanguard</v>
      </c>
      <c r="X297" s="64" t="str">
        <f ca="1">IFERROR(__xludf.DUMMYFUNCTION("""COMPUTED_VALUE"""),"PvZ 2 Chinease")</f>
        <v>PvZ 2 Chinease</v>
      </c>
      <c r="Y297" s="65" t="str">
        <f ca="1">IFERROR(__xludf.DUMMYFUNCTION("""COMPUTED_VALUE"""),"https://static.wikia.nocookie.net/plantsvszombies/images/f/f1/Gardener_Grass2.png/revision/latest?cb=20220311003749")</f>
        <v>https://static.wikia.nocookie.net/plantsvszombies/images/f/f1/Gardener_Grass2.png/revision/latest?cb=20220311003749</v>
      </c>
    </row>
    <row r="298" spans="1:25" x14ac:dyDescent="0.2">
      <c r="A298" s="64">
        <f ca="1">IFERROR(__xludf.DUMMYFUNCTION("""COMPUTED_VALUE"""),94)</f>
        <v>94</v>
      </c>
      <c r="B298" s="64" t="str">
        <f ca="1">IFERROR(__xludf.DUMMYFUNCTION("""COMPUTED_VALUE"""),"Byttneria Meteor Hammer")</f>
        <v>Byttneria Meteor Hammer</v>
      </c>
      <c r="C298" s="64" t="str">
        <f ca="1">IFERROR(__xludf.DUMMYFUNCTION("""COMPUTED_VALUE"""),"Opúncia Martelo Meteoro")</f>
        <v>Opúncia Martelo Meteoro</v>
      </c>
      <c r="D298" s="64" t="str">
        <f ca="1">IFERROR(__xludf.DUMMYFUNCTION("""COMPUTED_VALUE"""),"Surra")</f>
        <v>Surra</v>
      </c>
      <c r="E298" s="64" t="str">
        <f ca="1">IFERROR(__xludf.DUMMYFUNCTION("""COMPUTED_VALUE"""),"Byttneria Meteor Hammer can slam zombies using it’s meteor hammer. When not attacking, it charges up for an attack that can cause knockback.")</f>
        <v>Byttneria Meteor Hammer can slam zombies using it’s meteor hammer. When not attacking, it charges up for an attack that can cause knockback.</v>
      </c>
      <c r="F298" s="64">
        <f ca="1">IFERROR(__xludf.DUMMYFUNCTION("""COMPUTED_VALUE"""),150)</f>
        <v>150</v>
      </c>
      <c r="G298" s="64">
        <f ca="1">IFERROR(__xludf.DUMMYFUNCTION("""COMPUTED_VALUE"""),300)</f>
        <v>300</v>
      </c>
      <c r="H298" s="64">
        <f ca="1">IFERROR(__xludf.DUMMYFUNCTION("""COMPUTED_VALUE"""),50)</f>
        <v>50</v>
      </c>
      <c r="I298" s="64">
        <f ca="1">IFERROR(__xludf.DUMMYFUNCTION("""COMPUTED_VALUE"""),5)</f>
        <v>5</v>
      </c>
      <c r="J298" s="64" t="str">
        <f ca="1">IFERROR(__xludf.DUMMYFUNCTION("""COMPUTED_VALUE"""),"Byttneria Meteor Hammer spins the meteor hammer to charge and smash the tile to the right, dealing shockwave damage to all zombies in a 2-tile sector region to the right while knocking them back for 1 tile.")</f>
        <v>Byttneria Meteor Hammer spins the meteor hammer to charge and smash the tile to the right, dealing shockwave damage to all zombies in a 2-tile sector region to the right while knocking them back for 1 tile.</v>
      </c>
      <c r="K298" s="64" t="str">
        <f ca="1">IFERROR(__xludf.DUMMYFUNCTION("""COMPUTED_VALUE"""),"Attack range 2 tiles ahead")</f>
        <v>Attack range 2 tiles ahead</v>
      </c>
      <c r="L298" s="64" t="str">
        <f ca="1">IFERROR(__xludf.DUMMYFUNCTION("""COMPUTED_VALUE"""),"Special - Will charge up when not attacking zombies")</f>
        <v>Special - Will charge up when not attacking zombies</v>
      </c>
      <c r="M298" s="64" t="b">
        <f ca="1">IFERROR(__xludf.DUMMYFUNCTION("""COMPUTED_VALUE"""),FALSE)</f>
        <v>0</v>
      </c>
      <c r="N298" s="64" t="b">
        <f ca="1">IFERROR(__xludf.DUMMYFUNCTION("""COMPUTED_VALUE"""),FALSE)</f>
        <v>0</v>
      </c>
      <c r="O298" s="64">
        <f ca="1">IFERROR(__xludf.DUMMYFUNCTION("""COMPUTED_VALUE"""),0)</f>
        <v>0</v>
      </c>
      <c r="P298" s="64" t="str">
        <f ca="1">IFERROR(__xludf.DUMMYFUNCTION("""COMPUTED_VALUE"""),"Epic")</f>
        <v>Epic</v>
      </c>
      <c r="Q298" s="64" t="str">
        <f ca="1">IFERROR(__xludf.DUMMYFUNCTION("""COMPUTED_VALUE"""),"control")</f>
        <v>control</v>
      </c>
      <c r="R298" s="64" t="str">
        <f ca="1">IFERROR(__xludf.DUMMYFUNCTION("""COMPUTED_VALUE"""),"Cactus")</f>
        <v>Cactus</v>
      </c>
      <c r="S298" s="64" t="str">
        <f ca="1">IFERROR(__xludf.DUMMYFUNCTION("""COMPUTED_VALUE"""),"Chinese Sementium")</f>
        <v>Chinese Sementium</v>
      </c>
      <c r="T298" s="64" t="str">
        <f ca="1">IFERROR(__xludf.DUMMYFUNCTION("""COMPUTED_VALUE"""),"None")</f>
        <v>None</v>
      </c>
      <c r="U298" s="64" t="str">
        <f ca="1">IFERROR(__xludf.DUMMYFUNCTION("""COMPUTED_VALUE"""),"None")</f>
        <v>None</v>
      </c>
      <c r="V298" s="64" t="str">
        <f ca="1">IFERROR(__xludf.DUMMYFUNCTION("""COMPUTED_VALUE"""),"---")</f>
        <v>---</v>
      </c>
      <c r="W298" s="64" t="str">
        <f ca="1">IFERROR(__xludf.DUMMYFUNCTION("""COMPUTED_VALUE"""),"Vanguard")</f>
        <v>Vanguard</v>
      </c>
      <c r="X298" s="64" t="str">
        <f ca="1">IFERROR(__xludf.DUMMYFUNCTION("""COMPUTED_VALUE"""),"PvZ 2 Chinease")</f>
        <v>PvZ 2 Chinease</v>
      </c>
      <c r="Y298" s="65" t="str">
        <f ca="1">IFERROR(__xludf.DUMMYFUNCTION("""COMPUTED_VALUE"""),"https://static.wikia.nocookie.net/plantsvszombies/images/6/63/Byttneria_Meteor_Hammer2.png/revision/latest?cb=20221001234422")</f>
        <v>https://static.wikia.nocookie.net/plantsvszombies/images/6/63/Byttneria_Meteor_Hammer2.png/revision/latest?cb=20221001234422</v>
      </c>
    </row>
    <row r="299" spans="1:25" x14ac:dyDescent="0.2">
      <c r="A299" s="64">
        <f ca="1">IFERROR(__xludf.DUMMYFUNCTION("""COMPUTED_VALUE"""),95)</f>
        <v>95</v>
      </c>
      <c r="B299" s="64" t="str">
        <f ca="1">IFERROR(__xludf.DUMMYFUNCTION("""COMPUTED_VALUE"""),"Laser Crown Flower")</f>
        <v>Laser Crown Flower</v>
      </c>
      <c r="C299" s="64" t="str">
        <f ca="1">IFERROR(__xludf.DUMMYFUNCTION("""COMPUTED_VALUE"""),"Madar Lazer")</f>
        <v>Madar Lazer</v>
      </c>
      <c r="D299" s="64" t="str">
        <f ca="1">IFERROR(__xludf.DUMMYFUNCTION("""COMPUTED_VALUE"""),"Perfura")</f>
        <v>Perfura</v>
      </c>
      <c r="E299" s="64" t="str">
        <f ca="1">IFERROR(__xludf.DUMMYFUNCTION("""COMPUTED_VALUE"""),"Fires a laser that penetrates zombies, is blocked by larger zombies, and increases damage over time")</f>
        <v>Fires a laser that penetrates zombies, is blocked by larger zombies, and increases damage over time</v>
      </c>
      <c r="F299" s="64">
        <f ca="1">IFERROR(__xludf.DUMMYFUNCTION("""COMPUTED_VALUE"""),250)</f>
        <v>250</v>
      </c>
      <c r="G299" s="64">
        <f ca="1">IFERROR(__xludf.DUMMYFUNCTION("""COMPUTED_VALUE"""),300)</f>
        <v>300</v>
      </c>
      <c r="H299" s="64">
        <f ca="1">IFERROR(__xludf.DUMMYFUNCTION("""COMPUTED_VALUE"""),40)</f>
        <v>40</v>
      </c>
      <c r="I299" s="64">
        <f ca="1">IFERROR(__xludf.DUMMYFUNCTION("""COMPUTED_VALUE"""),7.5)</f>
        <v>7.5</v>
      </c>
      <c r="J299" s="64" t="str">
        <f ca="1">IFERROR(__xludf.DUMMYFUNCTION("""COMPUTED_VALUE"""),"Laser Crown Flower pumps the bud to charge, firing 1 laser ball to the right, up-right and down-right, knocking away small-to-medium sized zombies, exploding upon coming into contact with large-sized or mechanical zombies to deal damage.")</f>
        <v>Laser Crown Flower pumps the bud to charge, firing 1 laser ball to the right, up-right and down-right, knocking away small-to-medium sized zombies, exploding upon coming into contact with large-sized or mechanical zombies to deal damage.</v>
      </c>
      <c r="K299" s="64" t="str">
        <f ca="1">IFERROR(__xludf.DUMMYFUNCTION("""COMPUTED_VALUE"""),"Attack range 1 row ahead")</f>
        <v>Attack range 1 row ahead</v>
      </c>
      <c r="L299" s="64" t="str">
        <f ca="1">IFERROR(__xludf.DUMMYFUNCTION("""COMPUTED_VALUE"""),"Special - Laser fires continuously, increasing damage over time")</f>
        <v>Special - Laser fires continuously, increasing damage over time</v>
      </c>
      <c r="M299" s="64" t="b">
        <f ca="1">IFERROR(__xludf.DUMMYFUNCTION("""COMPUTED_VALUE"""),FALSE)</f>
        <v>0</v>
      </c>
      <c r="N299" s="64" t="b">
        <f ca="1">IFERROR(__xludf.DUMMYFUNCTION("""COMPUTED_VALUE"""),FALSE)</f>
        <v>0</v>
      </c>
      <c r="O299" s="64">
        <f ca="1">IFERROR(__xludf.DUMMYFUNCTION("""COMPUTED_VALUE"""),0)</f>
        <v>0</v>
      </c>
      <c r="P299" s="64" t="str">
        <f ca="1">IFERROR(__xludf.DUMMYFUNCTION("""COMPUTED_VALUE"""),"Legendary")</f>
        <v>Legendary</v>
      </c>
      <c r="Q299" s="64"/>
      <c r="R299" s="64" t="str">
        <f ca="1">IFERROR(__xludf.DUMMYFUNCTION("""COMPUTED_VALUE"""),"Flower")</f>
        <v>Flower</v>
      </c>
      <c r="S299" s="64" t="str">
        <f ca="1">IFERROR(__xludf.DUMMYFUNCTION("""COMPUTED_VALUE"""),"Chinese Sementium")</f>
        <v>Chinese Sementium</v>
      </c>
      <c r="T299" s="64" t="str">
        <f ca="1">IFERROR(__xludf.DUMMYFUNCTION("""COMPUTED_VALUE"""),"None")</f>
        <v>None</v>
      </c>
      <c r="U299" s="64" t="str">
        <f ca="1">IFERROR(__xludf.DUMMYFUNCTION("""COMPUTED_VALUE"""),"None")</f>
        <v>None</v>
      </c>
      <c r="V299" s="64" t="str">
        <f ca="1">IFERROR(__xludf.DUMMYFUNCTION("""COMPUTED_VALUE"""),"---")</f>
        <v>---</v>
      </c>
      <c r="W299" s="64" t="str">
        <f ca="1">IFERROR(__xludf.DUMMYFUNCTION("""COMPUTED_VALUE"""),"Ranged")</f>
        <v>Ranged</v>
      </c>
      <c r="X299" s="64" t="str">
        <f ca="1">IFERROR(__xludf.DUMMYFUNCTION("""COMPUTED_VALUE"""),"PvZ 2 Chinease")</f>
        <v>PvZ 2 Chinease</v>
      </c>
      <c r="Y299" s="65" t="str">
        <f ca="1">IFERROR(__xludf.DUMMYFUNCTION("""COMPUTED_VALUE"""),"https://static.wikia.nocookie.net/plantsvszombies/images/a/a7/Laser_Crown_Flower2.png/revision/latest?cb=20221001055728")</f>
        <v>https://static.wikia.nocookie.net/plantsvszombies/images/a/a7/Laser_Crown_Flower2.png/revision/latest?cb=20221001055728</v>
      </c>
    </row>
    <row r="300" spans="1:25" x14ac:dyDescent="0.2">
      <c r="A300" s="64">
        <f ca="1">IFERROR(__xludf.DUMMYFUNCTION("""COMPUTED_VALUE"""),96)</f>
        <v>96</v>
      </c>
      <c r="B300" s="64" t="str">
        <f ca="1">IFERROR(__xludf.DUMMYFUNCTION("""COMPUTED_VALUE"""),"Orchid Mage")</f>
        <v>Orchid Mage</v>
      </c>
      <c r="C300" s="64" t="str">
        <f ca="1">IFERROR(__xludf.DUMMYFUNCTION("""COMPUTED_VALUE"""),"Orquídea Maga")</f>
        <v>Orquídea Maga</v>
      </c>
      <c r="D300" s="64" t="str">
        <f ca="1">IFERROR(__xludf.DUMMYFUNCTION("""COMPUTED_VALUE"""),"Encanta")</f>
        <v>Encanta</v>
      </c>
      <c r="E300" s="64" t="str">
        <f ca="1">IFERROR(__xludf.DUMMYFUNCTION("""COMPUTED_VALUE"""),"Launches a gravitational ball that explodes and attracts small and medium zombies to the center")</f>
        <v>Launches a gravitational ball that explodes and attracts small and medium zombies to the center</v>
      </c>
      <c r="F300" s="64">
        <f ca="1">IFERROR(__xludf.DUMMYFUNCTION("""COMPUTED_VALUE"""),400)</f>
        <v>400</v>
      </c>
      <c r="G300" s="64">
        <f ca="1">IFERROR(__xludf.DUMMYFUNCTION("""COMPUTED_VALUE"""),300)</f>
        <v>300</v>
      </c>
      <c r="H300" s="64">
        <f ca="1">IFERROR(__xludf.DUMMYFUNCTION("""COMPUTED_VALUE"""),450)</f>
        <v>450</v>
      </c>
      <c r="I300" s="64">
        <f ca="1">IFERROR(__xludf.DUMMYFUNCTION("""COMPUTED_VALUE"""),10)</f>
        <v>10</v>
      </c>
      <c r="J300" s="64" t="str">
        <f ca="1">IFERROR(__xludf.DUMMYFUNCTION("""COMPUTED_VALUE"""),"Orchid Mage immediately finishes charging and consecutively throws 4 gravitational orbs to 4 zombies, each orb deals damage to nearby zombies in a 3×3 area and pull them towards it by 0.5 tiles.")</f>
        <v>Orchid Mage immediately finishes charging and consecutively throws 4 gravitational orbs to 4 zombies, each orb deals damage to nearby zombies in a 3×3 area and pull them towards it by 0.5 tiles.</v>
      </c>
      <c r="K300" s="64" t="str">
        <f ca="1">IFERROR(__xludf.DUMMYFUNCTION("""COMPUTED_VALUE"""),"attack's rests 14 seconds")</f>
        <v>attack's rests 14 seconds</v>
      </c>
      <c r="L300" s="64" t="str">
        <f ca="1">IFERROR(__xludf.DUMMYFUNCTION("""COMPUTED_VALUE"""),"Special - After the gravitational ball explodes, it attracts surrounding zombies to the center;
Special - It has three orbs that can repel 1 zombie")</f>
        <v>Special - After the gravitational ball explodes, it attracts surrounding zombies to the center;
Special - It has three orbs that can repel 1 zombie</v>
      </c>
      <c r="M300" s="64" t="b">
        <f ca="1">IFERROR(__xludf.DUMMYFUNCTION("""COMPUTED_VALUE"""),FALSE)</f>
        <v>0</v>
      </c>
      <c r="N300" s="64" t="b">
        <f ca="1">IFERROR(__xludf.DUMMYFUNCTION("""COMPUTED_VALUE"""),FALSE)</f>
        <v>0</v>
      </c>
      <c r="O300" s="64">
        <f ca="1">IFERROR(__xludf.DUMMYFUNCTION("""COMPUTED_VALUE"""),0)</f>
        <v>0</v>
      </c>
      <c r="P300" s="64" t="str">
        <f ca="1">IFERROR(__xludf.DUMMYFUNCTION("""COMPUTED_VALUE"""),"Legendary")</f>
        <v>Legendary</v>
      </c>
      <c r="Q300" s="64" t="str">
        <f ca="1">IFERROR(__xludf.DUMMYFUNCTION("""COMPUTED_VALUE"""),"control, area-effect, flying")</f>
        <v>control, area-effect, flying</v>
      </c>
      <c r="R300" s="64" t="str">
        <f ca="1">IFERROR(__xludf.DUMMYFUNCTION("""COMPUTED_VALUE"""),"Flower")</f>
        <v>Flower</v>
      </c>
      <c r="S300" s="64" t="str">
        <f ca="1">IFERROR(__xludf.DUMMYFUNCTION("""COMPUTED_VALUE"""),"Chinese Sementium")</f>
        <v>Chinese Sementium</v>
      </c>
      <c r="T300" s="64" t="str">
        <f ca="1">IFERROR(__xludf.DUMMYFUNCTION("""COMPUTED_VALUE"""),"None")</f>
        <v>None</v>
      </c>
      <c r="U300" s="64" t="str">
        <f ca="1">IFERROR(__xludf.DUMMYFUNCTION("""COMPUTED_VALUE"""),"None")</f>
        <v>None</v>
      </c>
      <c r="V300" s="64" t="str">
        <f ca="1">IFERROR(__xludf.DUMMYFUNCTION("""COMPUTED_VALUE"""),"---")</f>
        <v>---</v>
      </c>
      <c r="W300" s="64" t="str">
        <f ca="1">IFERROR(__xludf.DUMMYFUNCTION("""COMPUTED_VALUE"""),"Ranged")</f>
        <v>Ranged</v>
      </c>
      <c r="X300" s="64" t="str">
        <f ca="1">IFERROR(__xludf.DUMMYFUNCTION("""COMPUTED_VALUE"""),"PvZ 2 Chinease")</f>
        <v>PvZ 2 Chinease</v>
      </c>
      <c r="Y300" s="65" t="str">
        <f ca="1">IFERROR(__xludf.DUMMYFUNCTION("""COMPUTED_VALUE"""),"https://static.wikia.nocookie.net/plantsvszombies/images/3/39/Orchid_Mage2.png/revision/latest?cb=20221109070331")</f>
        <v>https://static.wikia.nocookie.net/plantsvszombies/images/3/39/Orchid_Mage2.png/revision/latest?cb=20221109070331</v>
      </c>
    </row>
    <row r="301" spans="1:25" x14ac:dyDescent="0.2">
      <c r="A301" s="64">
        <f ca="1">IFERROR(__xludf.DUMMYFUNCTION("""COMPUTED_VALUE"""),97)</f>
        <v>97</v>
      </c>
      <c r="B301" s="64" t="str">
        <f ca="1">IFERROR(__xludf.DUMMYFUNCTION("""COMPUTED_VALUE"""),"Twin Year of the Rabbits")</f>
        <v>Twin Year of the Rabbits</v>
      </c>
      <c r="C301" s="64" t="str">
        <f ca="1">IFERROR(__xludf.DUMMYFUNCTION("""COMPUTED_VALUE"""),"Coelhos de anos gêmeos")</f>
        <v>Coelhos de anos gêmeos</v>
      </c>
      <c r="D301" s="64" t="str">
        <f ca="1">IFERROR(__xludf.DUMMYFUNCTION("""COMPUTED_VALUE"""),"Surra")</f>
        <v>Surra</v>
      </c>
      <c r="E301" s="64" t="str">
        <f ca="1">IFERROR(__xludf.DUMMYFUNCTION("""COMPUTED_VALUE"""),"Twin Year of the Rabbits burrow into the ground and surface under the feet of zombies in front of them, knocking them into the air.")</f>
        <v>Twin Year of the Rabbits burrow into the ground and surface under the feet of zombies in front of them, knocking them into the air.</v>
      </c>
      <c r="F301" s="64">
        <f ca="1">IFERROR(__xludf.DUMMYFUNCTION("""COMPUTED_VALUE"""),200)</f>
        <v>200</v>
      </c>
      <c r="G301" s="64">
        <f ca="1">IFERROR(__xludf.DUMMYFUNCTION("""COMPUTED_VALUE"""),300)</f>
        <v>300</v>
      </c>
      <c r="H301" s="64">
        <f ca="1">IFERROR(__xludf.DUMMYFUNCTION("""COMPUTED_VALUE"""),20)</f>
        <v>20</v>
      </c>
      <c r="I301" s="64">
        <f ca="1">IFERROR(__xludf.DUMMYFUNCTION("""COMPUTED_VALUE"""),10)</f>
        <v>10</v>
      </c>
      <c r="J301" s="64" t="str">
        <f ca="1">IFERROR(__xludf.DUMMYFUNCTION("""COMPUTED_VALUE"""),"Twin Year of the Rabbits will burrow underground and pop up repeatedly in the 3x3 area in front of it to attack with fireworks, prioritizing tiles with zombies in them.")</f>
        <v>Twin Year of the Rabbits will burrow underground and pop up repeatedly in the 3x3 area in front of it to attack with fireworks, prioritizing tiles with zombies in them.</v>
      </c>
      <c r="K301" s="64"/>
      <c r="L301" s="64" t="str">
        <f ca="1">IFERROR(__xludf.DUMMYFUNCTION("""COMPUTED_VALUE"""),"Special - launches zombies the same lane ahead")</f>
        <v>Special - launches zombies the same lane ahead</v>
      </c>
      <c r="M301" s="64" t="b">
        <f ca="1">IFERROR(__xludf.DUMMYFUNCTION("""COMPUTED_VALUE"""),FALSE)</f>
        <v>0</v>
      </c>
      <c r="N301" s="64" t="b">
        <f ca="1">IFERROR(__xludf.DUMMYFUNCTION("""COMPUTED_VALUE"""),FALSE)</f>
        <v>0</v>
      </c>
      <c r="O301" s="64">
        <f ca="1">IFERROR(__xludf.DUMMYFUNCTION("""COMPUTED_VALUE"""),0)</f>
        <v>0</v>
      </c>
      <c r="P301" s="64" t="str">
        <f ca="1">IFERROR(__xludf.DUMMYFUNCTION("""COMPUTED_VALUE"""),"Legendary")</f>
        <v>Legendary</v>
      </c>
      <c r="Q301" s="64" t="str">
        <f ca="1">IFERROR(__xludf.DUMMYFUNCTION("""COMPUTED_VALUE"""),"control, zodiac")</f>
        <v>control, zodiac</v>
      </c>
      <c r="R301" s="64" t="str">
        <f ca="1">IFERROR(__xludf.DUMMYFUNCTION("""COMPUTED_VALUE"""),"Leaf")</f>
        <v>Leaf</v>
      </c>
      <c r="S301" s="64" t="str">
        <f ca="1">IFERROR(__xludf.DUMMYFUNCTION("""COMPUTED_VALUE"""),"Chinese Sementium")</f>
        <v>Chinese Sementium</v>
      </c>
      <c r="T301" s="64" t="str">
        <f ca="1">IFERROR(__xludf.DUMMYFUNCTION("""COMPUTED_VALUE"""),"None")</f>
        <v>None</v>
      </c>
      <c r="U301" s="64" t="str">
        <f ca="1">IFERROR(__xludf.DUMMYFUNCTION("""COMPUTED_VALUE"""),"None")</f>
        <v>None</v>
      </c>
      <c r="V301" s="64" t="str">
        <f ca="1">IFERROR(__xludf.DUMMYFUNCTION("""COMPUTED_VALUE"""),"---")</f>
        <v>---</v>
      </c>
      <c r="W301" s="64" t="str">
        <f ca="1">IFERROR(__xludf.DUMMYFUNCTION("""COMPUTED_VALUE"""),"Ranged")</f>
        <v>Ranged</v>
      </c>
      <c r="X301" s="64" t="str">
        <f ca="1">IFERROR(__xludf.DUMMYFUNCTION("""COMPUTED_VALUE"""),"PvZ 2 Chinease")</f>
        <v>PvZ 2 Chinease</v>
      </c>
      <c r="Y301" s="65" t="str">
        <f ca="1">IFERROR(__xludf.DUMMYFUNCTION("""COMPUTED_VALUE"""),"https://static.wikia.nocookie.net/plantsvszombies/images/b/b9/Twin_Year_of_the_Rabbits2.png/revision/latest?cb=20230129074906")</f>
        <v>https://static.wikia.nocookie.net/plantsvszombies/images/b/b9/Twin_Year_of_the_Rabbits2.png/revision/latest?cb=20230129074906</v>
      </c>
    </row>
    <row r="302" spans="1:25" x14ac:dyDescent="0.2">
      <c r="A302" s="64">
        <f ca="1">IFERROR(__xludf.DUMMYFUNCTION("""COMPUTED_VALUE"""),98)</f>
        <v>98</v>
      </c>
      <c r="B302" s="64" t="str">
        <f ca="1">IFERROR(__xludf.DUMMYFUNCTION("""COMPUTED_VALUE"""),"Pea Pharmacist")</f>
        <v>Pea Pharmacist</v>
      </c>
      <c r="C302" s="64" t="str">
        <f ca="1">IFERROR(__xludf.DUMMYFUNCTION("""COMPUTED_VALUE"""),"Ervilha Farmacêutica")</f>
        <v>Ervilha Farmacêutica</v>
      </c>
      <c r="D302" s="64" t="str">
        <f ca="1">IFERROR(__xludf.DUMMYFUNCTION("""COMPUTED_VALUE"""),"Encanta")</f>
        <v>Encanta</v>
      </c>
      <c r="E302" s="64" t="str">
        <f ca="1">IFERROR(__xludf.DUMMYFUNCTION("""COMPUTED_VALUE"""),"Pea Pharmacist throws polymorph peas at zombies to turn them into peas.")</f>
        <v>Pea Pharmacist throws polymorph peas at zombies to turn them into peas.</v>
      </c>
      <c r="F302" s="64">
        <f ca="1">IFERROR(__xludf.DUMMYFUNCTION("""COMPUTED_VALUE"""),200)</f>
        <v>200</v>
      </c>
      <c r="G302" s="64">
        <f ca="1">IFERROR(__xludf.DUMMYFUNCTION("""COMPUTED_VALUE"""),300)</f>
        <v>300</v>
      </c>
      <c r="H302" s="64">
        <f ca="1">IFERROR(__xludf.DUMMYFUNCTION("""COMPUTED_VALUE"""),100)</f>
        <v>100</v>
      </c>
      <c r="I302" s="64">
        <f ca="1">IFERROR(__xludf.DUMMYFUNCTION("""COMPUTED_VALUE"""),10)</f>
        <v>10</v>
      </c>
      <c r="J302" s="64" t="str">
        <f ca="1">IFERROR(__xludf.DUMMYFUNCTION("""COMPUTED_VALUE"""),"Throws polymorph peas at zombies to turn them into peas, only zombies up to two levels higher than the plant can be transformed")</f>
        <v>Throws polymorph peas at zombies to turn them into peas, only zombies up to two levels higher than the plant can be transformed</v>
      </c>
      <c r="K302" s="64" t="str">
        <f ca="1">IFERROR(__xludf.DUMMYFUNCTION("""COMPUTED_VALUE"""),"attack's rests 15 seconds")</f>
        <v>attack's rests 15 seconds</v>
      </c>
      <c r="L302" s="64"/>
      <c r="M302" s="64" t="b">
        <f ca="1">IFERROR(__xludf.DUMMYFUNCTION("""COMPUTED_VALUE"""),FALSE)</f>
        <v>0</v>
      </c>
      <c r="N302" s="64" t="b">
        <f ca="1">IFERROR(__xludf.DUMMYFUNCTION("""COMPUTED_VALUE"""),FALSE)</f>
        <v>0</v>
      </c>
      <c r="O302" s="64">
        <f ca="1">IFERROR(__xludf.DUMMYFUNCTION("""COMPUTED_VALUE"""),0)</f>
        <v>0</v>
      </c>
      <c r="P302" s="64" t="str">
        <f ca="1">IFERROR(__xludf.DUMMYFUNCTION("""COMPUTED_VALUE"""),"Legendary")</f>
        <v>Legendary</v>
      </c>
      <c r="Q302" s="64" t="str">
        <f ca="1">IFERROR(__xludf.DUMMYFUNCTION("""COMPUTED_VALUE"""),"control, summon")</f>
        <v>control, summon</v>
      </c>
      <c r="R302" s="64" t="str">
        <f ca="1">IFERROR(__xludf.DUMMYFUNCTION("""COMPUTED_VALUE"""),"Flower")</f>
        <v>Flower</v>
      </c>
      <c r="S302" s="64" t="str">
        <f ca="1">IFERROR(__xludf.DUMMYFUNCTION("""COMPUTED_VALUE"""),"Chinese Sementium")</f>
        <v>Chinese Sementium</v>
      </c>
      <c r="T302" s="64" t="str">
        <f ca="1">IFERROR(__xludf.DUMMYFUNCTION("""COMPUTED_VALUE"""),"None")</f>
        <v>None</v>
      </c>
      <c r="U302" s="64" t="str">
        <f ca="1">IFERROR(__xludf.DUMMYFUNCTION("""COMPUTED_VALUE"""),"None")</f>
        <v>None</v>
      </c>
      <c r="V302" s="64" t="str">
        <f ca="1">IFERROR(__xludf.DUMMYFUNCTION("""COMPUTED_VALUE"""),"---")</f>
        <v>---</v>
      </c>
      <c r="W302" s="64" t="str">
        <f ca="1">IFERROR(__xludf.DUMMYFUNCTION("""COMPUTED_VALUE"""),"Ranged")</f>
        <v>Ranged</v>
      </c>
      <c r="X302" s="64" t="str">
        <f ca="1">IFERROR(__xludf.DUMMYFUNCTION("""COMPUTED_VALUE"""),"PvZ 2 Chinease")</f>
        <v>PvZ 2 Chinease</v>
      </c>
      <c r="Y302" s="65" t="str">
        <f ca="1">IFERROR(__xludf.DUMMYFUNCTION("""COMPUTED_VALUE"""),"https://static.wikia.nocookie.net/plantsvszombies/images/e/e9/Pea_Pharmacist2.png/revision/latest?cb=20230129074812")</f>
        <v>https://static.wikia.nocookie.net/plantsvszombies/images/e/e9/Pea_Pharmacist2.png/revision/latest?cb=20230129074812</v>
      </c>
    </row>
    <row r="303" spans="1:25" x14ac:dyDescent="0.2">
      <c r="A303" s="64">
        <f ca="1">IFERROR(__xludf.DUMMYFUNCTION("""COMPUTED_VALUE"""),99)</f>
        <v>99</v>
      </c>
      <c r="B303" s="64" t="str">
        <f ca="1">IFERROR(__xludf.DUMMYFUNCTION("""COMPUTED_VALUE"""),"Pike Hoya")</f>
        <v>Pike Hoya</v>
      </c>
      <c r="C303" s="64" t="str">
        <f ca="1">IFERROR(__xludf.DUMMYFUNCTION("""COMPUTED_VALUE"""),"Hoyaespinho")</f>
        <v>Hoyaespinho</v>
      </c>
      <c r="D303" s="64" t="str">
        <f ca="1">IFERROR(__xludf.DUMMYFUNCTION("""COMPUTED_VALUE"""),"Perfura")</f>
        <v>Perfura</v>
      </c>
      <c r="E303" s="64" t="str">
        <f ca="1">IFERROR(__xludf.DUMMYFUNCTION("""COMPUTED_VALUE"""),"Pike Hoya throws pikes, dealing damage to zombies.
")</f>
        <v xml:space="preserve">Pike Hoya throws pikes, dealing damage to zombies.
</v>
      </c>
      <c r="F303" s="64">
        <f ca="1">IFERROR(__xludf.DUMMYFUNCTION("""COMPUTED_VALUE"""),150)</f>
        <v>150</v>
      </c>
      <c r="G303" s="64">
        <f ca="1">IFERROR(__xludf.DUMMYFUNCTION("""COMPUTED_VALUE"""),300)</f>
        <v>300</v>
      </c>
      <c r="H303" s="64">
        <f ca="1">IFERROR(__xludf.DUMMYFUNCTION("""COMPUTED_VALUE"""),80)</f>
        <v>80</v>
      </c>
      <c r="I303" s="64">
        <f ca="1">IFERROR(__xludf.DUMMYFUNCTION("""COMPUTED_VALUE"""),10)</f>
        <v>10</v>
      </c>
      <c r="J303" s="64" t="str">
        <f ca="1">IFERROR(__xludf.DUMMYFUNCTION("""COMPUTED_VALUE"""),"Rapidly twirls his pike in the air, dragging zombies from a 3x3 area around him to the tile in front of him while dealing continuous damage.")</f>
        <v>Rapidly twirls his pike in the air, dragging zombies from a 3x3 area around him to the tile in front of him while dealing continuous damage.</v>
      </c>
      <c r="K303" s="64"/>
      <c r="L303" s="64"/>
      <c r="M303" s="64" t="b">
        <f ca="1">IFERROR(__xludf.DUMMYFUNCTION("""COMPUTED_VALUE"""),FALSE)</f>
        <v>0</v>
      </c>
      <c r="N303" s="64" t="b">
        <f ca="1">IFERROR(__xludf.DUMMYFUNCTION("""COMPUTED_VALUE"""),FALSE)</f>
        <v>0</v>
      </c>
      <c r="O303" s="64">
        <f ca="1">IFERROR(__xludf.DUMMYFUNCTION("""COMPUTED_VALUE"""),0)</f>
        <v>0</v>
      </c>
      <c r="P303" s="64" t="str">
        <f ca="1">IFERROR(__xludf.DUMMYFUNCTION("""COMPUTED_VALUE"""),"Legendary")</f>
        <v>Legendary</v>
      </c>
      <c r="Q303" s="64"/>
      <c r="R303" s="64" t="str">
        <f ca="1">IFERROR(__xludf.DUMMYFUNCTION("""COMPUTED_VALUE"""),"Flower")</f>
        <v>Flower</v>
      </c>
      <c r="S303" s="64" t="str">
        <f ca="1">IFERROR(__xludf.DUMMYFUNCTION("""COMPUTED_VALUE"""),"Chinese Sementium")</f>
        <v>Chinese Sementium</v>
      </c>
      <c r="T303" s="64" t="str">
        <f ca="1">IFERROR(__xludf.DUMMYFUNCTION("""COMPUTED_VALUE"""),"None")</f>
        <v>None</v>
      </c>
      <c r="U303" s="64" t="str">
        <f ca="1">IFERROR(__xludf.DUMMYFUNCTION("""COMPUTED_VALUE"""),"None")</f>
        <v>None</v>
      </c>
      <c r="V303" s="64" t="str">
        <f ca="1">IFERROR(__xludf.DUMMYFUNCTION("""COMPUTED_VALUE"""),"---")</f>
        <v>---</v>
      </c>
      <c r="W303" s="64" t="str">
        <f ca="1">IFERROR(__xludf.DUMMYFUNCTION("""COMPUTED_VALUE"""),"Ranged")</f>
        <v>Ranged</v>
      </c>
      <c r="X303" s="64" t="str">
        <f ca="1">IFERROR(__xludf.DUMMYFUNCTION("""COMPUTED_VALUE"""),"PvZ 2 Chinease")</f>
        <v>PvZ 2 Chinease</v>
      </c>
      <c r="Y303" s="65" t="str">
        <f ca="1">IFERROR(__xludf.DUMMYFUNCTION("""COMPUTED_VALUE"""),"https://static.wikia.nocookie.net/plantsvszombies/images/b/b1/Pike_Hoya2.png/revision/latest?cb=20230129074720")</f>
        <v>https://static.wikia.nocookie.net/plantsvszombies/images/b/b1/Pike_Hoya2.png/revision/latest?cb=20230129074720</v>
      </c>
    </row>
    <row r="304" spans="1:25" x14ac:dyDescent="0.2">
      <c r="A304" s="64">
        <f ca="1">IFERROR(__xludf.DUMMYFUNCTION("""COMPUTED_VALUE"""),100)</f>
        <v>100</v>
      </c>
      <c r="B304" s="64" t="str">
        <f ca="1">IFERROR(__xludf.DUMMYFUNCTION("""COMPUTED_VALUE"""),"Burdock Batter")</f>
        <v>Burdock Batter</v>
      </c>
      <c r="C304" s="64" t="str">
        <f ca="1">IFERROR(__xludf.DUMMYFUNCTION("""COMPUTED_VALUE"""),"Bardana Batedora")</f>
        <v>Bardana Batedora</v>
      </c>
      <c r="D304" s="64" t="str">
        <f ca="1">IFERROR(__xludf.DUMMYFUNCTION("""COMPUTED_VALUE"""),"Refrea")</f>
        <v>Refrea</v>
      </c>
      <c r="E304" s="64" t="str">
        <f ca="1">IFERROR(__xludf.DUMMYFUNCTION("""COMPUTED_VALUE"""),"Can hit passing peas for greater damage and control.")</f>
        <v>Can hit passing peas for greater damage and control.</v>
      </c>
      <c r="F304" s="64">
        <f ca="1">IFERROR(__xludf.DUMMYFUNCTION("""COMPUTED_VALUE"""),100)</f>
        <v>100</v>
      </c>
      <c r="G304" s="64">
        <f ca="1">IFERROR(__xludf.DUMMYFUNCTION("""COMPUTED_VALUE"""),300)</f>
        <v>300</v>
      </c>
      <c r="H304" s="64">
        <f ca="1">IFERROR(__xludf.DUMMYFUNCTION("""COMPUTED_VALUE"""),50)</f>
        <v>50</v>
      </c>
      <c r="I304" s="64">
        <f ca="1">IFERROR(__xludf.DUMMYFUNCTION("""COMPUTED_VALUE"""),10)</f>
        <v>10</v>
      </c>
      <c r="J304" s="64" t="str">
        <f ca="1">IFERROR(__xludf.DUMMYFUNCTION("""COMPUTED_VALUE"""),"Burdock Batter will fire up and will preform one of two attacks depending on its circumstances. When zombies are near Burdock Batter, it will knock them away with a powerful melee attack. When a pea passes by Burdock Batter, it will hit a straightball tha"&amp;"t knocks away all zombies ahead of it. If a zombie is too big to be knocked away, both attacks will do heavy direct damage and stun them.")</f>
        <v>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v>
      </c>
      <c r="K304" s="64"/>
      <c r="L304" s="64" t="str">
        <f ca="1">IFERROR(__xludf.DUMMYFUNCTION("""COMPUTED_VALUE"""),"Special - Can hit passing peas for greater damage and control")</f>
        <v>Special - Can hit passing peas for greater damage and control</v>
      </c>
      <c r="M304" s="64" t="b">
        <f ca="1">IFERROR(__xludf.DUMMYFUNCTION("""COMPUTED_VALUE"""),FALSE)</f>
        <v>0</v>
      </c>
      <c r="N304" s="64" t="b">
        <f ca="1">IFERROR(__xludf.DUMMYFUNCTION("""COMPUTED_VALUE"""),FALSE)</f>
        <v>0</v>
      </c>
      <c r="O304" s="64">
        <f ca="1">IFERROR(__xludf.DUMMYFUNCTION("""COMPUTED_VALUE"""),0)</f>
        <v>0</v>
      </c>
      <c r="P304" s="64" t="str">
        <f ca="1">IFERROR(__xludf.DUMMYFUNCTION("""COMPUTED_VALUE"""),"Legendary")</f>
        <v>Legendary</v>
      </c>
      <c r="Q304" s="64" t="str">
        <f ca="1">IFERROR(__xludf.DUMMYFUNCTION("""COMPUTED_VALUE"""),"control, boost")</f>
        <v>control, boost</v>
      </c>
      <c r="R304" s="64" t="str">
        <f ca="1">IFERROR(__xludf.DUMMYFUNCTION("""COMPUTED_VALUE"""),"Root")</f>
        <v>Root</v>
      </c>
      <c r="S304" s="64" t="str">
        <f ca="1">IFERROR(__xludf.DUMMYFUNCTION("""COMPUTED_VALUE"""),"Chinese Sementium")</f>
        <v>Chinese Sementium</v>
      </c>
      <c r="T304" s="64" t="str">
        <f ca="1">IFERROR(__xludf.DUMMYFUNCTION("""COMPUTED_VALUE"""),"None")</f>
        <v>None</v>
      </c>
      <c r="U304" s="64" t="str">
        <f ca="1">IFERROR(__xludf.DUMMYFUNCTION("""COMPUTED_VALUE"""),"None")</f>
        <v>None</v>
      </c>
      <c r="V304" s="64" t="str">
        <f ca="1">IFERROR(__xludf.DUMMYFUNCTION("""COMPUTED_VALUE"""),"---")</f>
        <v>---</v>
      </c>
      <c r="W304" s="64" t="str">
        <f ca="1">IFERROR(__xludf.DUMMYFUNCTION("""COMPUTED_VALUE"""),"Vanguard")</f>
        <v>Vanguard</v>
      </c>
      <c r="X304" s="64" t="str">
        <f ca="1">IFERROR(__xludf.DUMMYFUNCTION("""COMPUTED_VALUE"""),"PvZ 2 Chinease")</f>
        <v>PvZ 2 Chinease</v>
      </c>
      <c r="Y304" s="65" t="str">
        <f ca="1">IFERROR(__xludf.DUMMYFUNCTION("""COMPUTED_VALUE"""),"https://static.wikia.nocookie.net/plantsvszombies/images/e/e0/Burdock_Batter2.png/revision/latest?cb=20230309021850")</f>
        <v>https://static.wikia.nocookie.net/plantsvszombies/images/e/e0/Burdock_Batter2.png/revision/latest?cb=20230309021850</v>
      </c>
    </row>
    <row r="305" spans="1:25" x14ac:dyDescent="0.2">
      <c r="A305" s="64">
        <f ca="1">IFERROR(__xludf.DUMMYFUNCTION("""COMPUTED_VALUE"""),101)</f>
        <v>101</v>
      </c>
      <c r="B305" s="64" t="str">
        <f ca="1">IFERROR(__xludf.DUMMYFUNCTION("""COMPUTED_VALUE"""),"Capaci-cone")</f>
        <v>Capaci-cone</v>
      </c>
      <c r="C305" s="64" t="str">
        <f ca="1">IFERROR(__xludf.DUMMYFUNCTION("""COMPUTED_VALUE"""),"Capaci-cone")</f>
        <v>Capaci-cone</v>
      </c>
      <c r="D305" s="64" t="str">
        <f ca="1">IFERROR(__xludf.DUMMYFUNCTION("""COMPUTED_VALUE"""),"Fila")</f>
        <v>Fila</v>
      </c>
      <c r="E305" s="64" t="str">
        <f ca="1">IFERROR(__xludf.DUMMYFUNCTION("""COMPUTED_VALUE"""),"Absorbs electricity and then stores him, then condenses he into an electric ring and shoots him out.")</f>
        <v>Absorbs electricity and then stores him, then condenses he into an electric ring and shoots him out.</v>
      </c>
      <c r="F305" s="64">
        <f ca="1">IFERROR(__xludf.DUMMYFUNCTION("""COMPUTED_VALUE"""),300)</f>
        <v>300</v>
      </c>
      <c r="G305" s="64">
        <f ca="1">IFERROR(__xludf.DUMMYFUNCTION("""COMPUTED_VALUE"""),300)</f>
        <v>300</v>
      </c>
      <c r="H305" s="64">
        <f ca="1">IFERROR(__xludf.DUMMYFUNCTION("""COMPUTED_VALUE"""),60)</f>
        <v>60</v>
      </c>
      <c r="I305" s="64">
        <f ca="1">IFERROR(__xludf.DUMMYFUNCTION("""COMPUTED_VALUE"""),7.5)</f>
        <v>7.5</v>
      </c>
      <c r="J305" s="64" t="str">
        <f ca="1">IFERROR(__xludf.DUMMYFUNCTION("""COMPUTED_VALUE"""),"When fed Plant Food, Capaci-cone will absorb energy from all electric plants on the lawn and create an enhanced electric ring. The thunderbolts summoned have higher damage and may stun zombies temporarily. Depending on the energy absorbed, the ring can ei"&amp;"ther have an area of 3x3 or 5x5.")</f>
        <v>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v>
      </c>
      <c r="K305" s="64" t="str">
        <f ca="1">IFERROR(__xludf.DUMMYFUNCTION("""COMPUTED_VALUE"""),"attack's rests 15 seconds")</f>
        <v>attack's rests 15 seconds</v>
      </c>
      <c r="L305" s="64" t="str">
        <f ca="1">IFERROR(__xludf.DUMMYFUNCTION("""COMPUTED_VALUE"""),"Special - Absorbs electricity and then stores him, then condenses he into an electric ring and shoots him out.")</f>
        <v>Special - Absorbs electricity and then stores him, then condenses he into an electric ring and shoots him out.</v>
      </c>
      <c r="M305" s="64" t="b">
        <f ca="1">IFERROR(__xludf.DUMMYFUNCTION("""COMPUTED_VALUE"""),FALSE)</f>
        <v>0</v>
      </c>
      <c r="N305" s="64" t="b">
        <f ca="1">IFERROR(__xludf.DUMMYFUNCTION("""COMPUTED_VALUE"""),FALSE)</f>
        <v>0</v>
      </c>
      <c r="O305" s="64">
        <f ca="1">IFERROR(__xludf.DUMMYFUNCTION("""COMPUTED_VALUE"""),0)</f>
        <v>0</v>
      </c>
      <c r="P305" s="64" t="str">
        <f ca="1">IFERROR(__xludf.DUMMYFUNCTION("""COMPUTED_VALUE"""),"Legendary")</f>
        <v>Legendary</v>
      </c>
      <c r="Q305" s="64" t="str">
        <f ca="1">IFERROR(__xludf.DUMMYFUNCTION("""COMPUTED_VALUE"""),"area-effect")</f>
        <v>area-effect</v>
      </c>
      <c r="R305" s="64" t="str">
        <f ca="1">IFERROR(__xludf.DUMMYFUNCTION("""COMPUTED_VALUE"""),"Nut")</f>
        <v>Nut</v>
      </c>
      <c r="S305" s="64" t="str">
        <f ca="1">IFERROR(__xludf.DUMMYFUNCTION("""COMPUTED_VALUE"""),"Chinese Sementium")</f>
        <v>Chinese Sementium</v>
      </c>
      <c r="T305" s="64" t="str">
        <f ca="1">IFERROR(__xludf.DUMMYFUNCTION("""COMPUTED_VALUE"""),"None")</f>
        <v>None</v>
      </c>
      <c r="U305" s="64" t="str">
        <f ca="1">IFERROR(__xludf.DUMMYFUNCTION("""COMPUTED_VALUE"""),"None")</f>
        <v>None</v>
      </c>
      <c r="V305" s="64" t="str">
        <f ca="1">IFERROR(__xludf.DUMMYFUNCTION("""COMPUTED_VALUE"""),"---")</f>
        <v>---</v>
      </c>
      <c r="W305" s="64" t="str">
        <f ca="1">IFERROR(__xludf.DUMMYFUNCTION("""COMPUTED_VALUE"""),"Ranged")</f>
        <v>Ranged</v>
      </c>
      <c r="X305" s="64" t="str">
        <f ca="1">IFERROR(__xludf.DUMMYFUNCTION("""COMPUTED_VALUE"""),"PvZ 2 Chinease")</f>
        <v>PvZ 2 Chinease</v>
      </c>
      <c r="Y305" s="65" t="str">
        <f ca="1">IFERROR(__xludf.DUMMYFUNCTION("""COMPUTED_VALUE"""),"https://static.wikia.nocookie.net/plantsvszombies/images/3/30/Capaci-cone2.png/revision/latest?cb=20230430190812")</f>
        <v>https://static.wikia.nocookie.net/plantsvszombies/images/3/30/Capaci-cone2.png/revision/latest?cb=20230430190812</v>
      </c>
    </row>
    <row r="306" spans="1:25" x14ac:dyDescent="0.2">
      <c r="A306" s="64">
        <f ca="1">IFERROR(__xludf.DUMMYFUNCTION("""COMPUTED_VALUE"""),102)</f>
        <v>102</v>
      </c>
      <c r="B306" s="64" t="str">
        <f ca="1">IFERROR(__xludf.DUMMYFUNCTION("""COMPUTED_VALUE"""),"Cranesbill Fencer")</f>
        <v>Cranesbill Fencer</v>
      </c>
      <c r="C306" s="64" t="str">
        <f ca="1">IFERROR(__xludf.DUMMYFUNCTION("""COMPUTED_VALUE"""),"Gerânio esgrimista")</f>
        <v>Gerânio esgrimista</v>
      </c>
      <c r="D306" s="64" t="str">
        <f ca="1">IFERROR(__xludf.DUMMYFUNCTION("""COMPUTED_VALUE"""),"Surra")</f>
        <v>Surra</v>
      </c>
      <c r="E306" s="64" t="str">
        <f ca="1">IFERROR(__xludf.DUMMYFUNCTION("""COMPUTED_VALUE"""),"Hops forward to attack, then jumps back to the original tile, making Gargantuars miss their attacks.")</f>
        <v>Hops forward to attack, then jumps back to the original tile, making Gargantuars miss their attacks.</v>
      </c>
      <c r="F306" s="64">
        <f ca="1">IFERROR(__xludf.DUMMYFUNCTION("""COMPUTED_VALUE"""),150)</f>
        <v>150</v>
      </c>
      <c r="G306" s="64">
        <f ca="1">IFERROR(__xludf.DUMMYFUNCTION("""COMPUTED_VALUE"""),300)</f>
        <v>300</v>
      </c>
      <c r="H306" s="64">
        <f ca="1">IFERROR(__xludf.DUMMYFUNCTION("""COMPUTED_VALUE"""),50)</f>
        <v>50</v>
      </c>
      <c r="I306" s="64">
        <f ca="1">IFERROR(__xludf.DUMMYFUNCTION("""COMPUTED_VALUE"""),5)</f>
        <v>5</v>
      </c>
      <c r="J306" s="64" t="str">
        <f ca="1">IFERROR(__xludf.DUMMYFUNCTION("""COMPUTED_VALUE"""),"Draws a five-pointed star on the surrounding ground, causing damage to zombies within a 3x3 range.")</f>
        <v>Draws a five-pointed star on the surrounding ground, causing damage to zombies within a 3x3 range.</v>
      </c>
      <c r="K306" s="64" t="str">
        <f ca="1">IFERROR(__xludf.DUMMYFUNCTION("""COMPUTED_VALUE"""),"Attack range 3 tiles to right")</f>
        <v>Attack range 3 tiles to right</v>
      </c>
      <c r="L306" s="64" t="str">
        <f ca="1">IFERROR(__xludf.DUMMYFUNCTION("""COMPUTED_VALUE"""),"Special - Hops forward to attack, then jumps back to the original tile, making Gargantuars miss their attacks.")</f>
        <v>Special - Hops forward to attack, then jumps back to the original tile, making Gargantuars miss their attacks.</v>
      </c>
      <c r="M306" s="64" t="b">
        <f ca="1">IFERROR(__xludf.DUMMYFUNCTION("""COMPUTED_VALUE"""),FALSE)</f>
        <v>0</v>
      </c>
      <c r="N306" s="64" t="b">
        <f ca="1">IFERROR(__xludf.DUMMYFUNCTION("""COMPUTED_VALUE"""),FALSE)</f>
        <v>0</v>
      </c>
      <c r="O306" s="64">
        <f ca="1">IFERROR(__xludf.DUMMYFUNCTION("""COMPUTED_VALUE"""),0)</f>
        <v>0</v>
      </c>
      <c r="P306" s="64" t="str">
        <f ca="1">IFERROR(__xludf.DUMMYFUNCTION("""COMPUTED_VALUE"""),"Legendary")</f>
        <v>Legendary</v>
      </c>
      <c r="Q306" s="64"/>
      <c r="R306" s="64" t="str">
        <f ca="1">IFERROR(__xludf.DUMMYFUNCTION("""COMPUTED_VALUE"""),"Leaf")</f>
        <v>Leaf</v>
      </c>
      <c r="S306" s="64" t="str">
        <f ca="1">IFERROR(__xludf.DUMMYFUNCTION("""COMPUTED_VALUE"""),"Chinese Sementium")</f>
        <v>Chinese Sementium</v>
      </c>
      <c r="T306" s="64" t="str">
        <f ca="1">IFERROR(__xludf.DUMMYFUNCTION("""COMPUTED_VALUE"""),"None")</f>
        <v>None</v>
      </c>
      <c r="U306" s="64" t="str">
        <f ca="1">IFERROR(__xludf.DUMMYFUNCTION("""COMPUTED_VALUE"""),"None")</f>
        <v>None</v>
      </c>
      <c r="V306" s="64" t="str">
        <f ca="1">IFERROR(__xludf.DUMMYFUNCTION("""COMPUTED_VALUE"""),"---")</f>
        <v>---</v>
      </c>
      <c r="W306" s="64" t="str">
        <f ca="1">IFERROR(__xludf.DUMMYFUNCTION("""COMPUTED_VALUE"""),"Vanguard")</f>
        <v>Vanguard</v>
      </c>
      <c r="X306" s="64" t="str">
        <f ca="1">IFERROR(__xludf.DUMMYFUNCTION("""COMPUTED_VALUE"""),"PvZ 2 Chinease")</f>
        <v>PvZ 2 Chinease</v>
      </c>
      <c r="Y306" s="65" t="str">
        <f ca="1">IFERROR(__xludf.DUMMYFUNCTION("""COMPUTED_VALUE"""),"https://static.wikia.nocookie.net/plantsvszombies/images/c/ce/Cranesbill_Fencer2.png/revision/latest?cb=20230430190734")</f>
        <v>https://static.wikia.nocookie.net/plantsvszombies/images/c/ce/Cranesbill_Fencer2.png/revision/latest?cb=20230430190734</v>
      </c>
    </row>
    <row r="307" spans="1:25" x14ac:dyDescent="0.2">
      <c r="A307" s="64">
        <f ca="1">IFERROR(__xludf.DUMMYFUNCTION("""COMPUTED_VALUE"""),103)</f>
        <v>103</v>
      </c>
      <c r="B307" s="64" t="str">
        <f ca="1">IFERROR(__xludf.DUMMYFUNCTION("""COMPUTED_VALUE"""),"Gorgon Pitcher")</f>
        <v>Gorgon Pitcher</v>
      </c>
      <c r="C307" s="64" t="str">
        <f ca="1">IFERROR(__xludf.DUMMYFUNCTION("""COMPUTED_VALUE"""),"Gorgona Sarracenia")</f>
        <v>Gorgona Sarracenia</v>
      </c>
      <c r="D307" s="64" t="str">
        <f ca="1">IFERROR(__xludf.DUMMYFUNCTION("""COMPUTED_VALUE"""),"Encanta")</f>
        <v>Encanta</v>
      </c>
      <c r="E307" s="64" t="str">
        <f ca="1">IFERROR(__xludf.DUMMYFUNCTION("""COMPUTED_VALUE"""),"Gorgon Pitcher can petrify zombies, and can also fire snake spirits to damage zombies.")</f>
        <v>Gorgon Pitcher can petrify zombies, and can also fire snake spirits to damage zombies.</v>
      </c>
      <c r="F307" s="64">
        <f ca="1">IFERROR(__xludf.DUMMYFUNCTION("""COMPUTED_VALUE"""),225)</f>
        <v>225</v>
      </c>
      <c r="G307" s="64">
        <f ca="1">IFERROR(__xludf.DUMMYFUNCTION("""COMPUTED_VALUE"""),300)</f>
        <v>300</v>
      </c>
      <c r="H307" s="64">
        <f ca="1">IFERROR(__xludf.DUMMYFUNCTION("""COMPUTED_VALUE"""),30)</f>
        <v>30</v>
      </c>
      <c r="I307" s="64">
        <f ca="1">IFERROR(__xludf.DUMMYFUNCTION("""COMPUTED_VALUE"""),10)</f>
        <v>10</v>
      </c>
      <c r="J307" s="64" t="str">
        <f ca="1">IFERROR(__xludf.DUMMYFUNCTION("""COMPUTED_VALUE"""),"When fed Plant Food, Gorgon Pitcher will unleash a large fan-shaped petrifying glare ahead of it.")</f>
        <v>When fed Plant Food, Gorgon Pitcher will unleash a large fan-shaped petrifying glare ahead of it.</v>
      </c>
      <c r="K307" s="64" t="str">
        <f ca="1">IFERROR(__xludf.DUMMYFUNCTION("""COMPUTED_VALUE"""),"petrify's rests 20 seconds")</f>
        <v>petrify's rests 20 seconds</v>
      </c>
      <c r="L307" s="64" t="str">
        <f ca="1">IFERROR(__xludf.DUMMYFUNCTION("""COMPUTED_VALUE"""),"Special - Petrifies zombies.")</f>
        <v>Special - Petrifies zombies.</v>
      </c>
      <c r="M307" s="64" t="b">
        <f ca="1">IFERROR(__xludf.DUMMYFUNCTION("""COMPUTED_VALUE"""),FALSE)</f>
        <v>0</v>
      </c>
      <c r="N307" s="64" t="b">
        <f ca="1">IFERROR(__xludf.DUMMYFUNCTION("""COMPUTED_VALUE"""),FALSE)</f>
        <v>0</v>
      </c>
      <c r="O307" s="64">
        <f ca="1">IFERROR(__xludf.DUMMYFUNCTION("""COMPUTED_VALUE"""),0)</f>
        <v>0</v>
      </c>
      <c r="P307" s="64" t="str">
        <f ca="1">IFERROR(__xludf.DUMMYFUNCTION("""COMPUTED_VALUE"""),"Legendary")</f>
        <v>Legendary</v>
      </c>
      <c r="Q307" s="64" t="str">
        <f ca="1">IFERROR(__xludf.DUMMYFUNCTION("""COMPUTED_VALUE"""),"control, chomper")</f>
        <v>control, chomper</v>
      </c>
      <c r="R307" s="64" t="str">
        <f ca="1">IFERROR(__xludf.DUMMYFUNCTION("""COMPUTED_VALUE"""),"Flower")</f>
        <v>Flower</v>
      </c>
      <c r="S307" s="64" t="str">
        <f ca="1">IFERROR(__xludf.DUMMYFUNCTION("""COMPUTED_VALUE"""),"Chinese Sementium")</f>
        <v>Chinese Sementium</v>
      </c>
      <c r="T307" s="64" t="str">
        <f ca="1">IFERROR(__xludf.DUMMYFUNCTION("""COMPUTED_VALUE"""),"None")</f>
        <v>None</v>
      </c>
      <c r="U307" s="64" t="str">
        <f ca="1">IFERROR(__xludf.DUMMYFUNCTION("""COMPUTED_VALUE"""),"None")</f>
        <v>None</v>
      </c>
      <c r="V307" s="64" t="str">
        <f ca="1">IFERROR(__xludf.DUMMYFUNCTION("""COMPUTED_VALUE"""),"---")</f>
        <v>---</v>
      </c>
      <c r="W307" s="64" t="str">
        <f ca="1">IFERROR(__xludf.DUMMYFUNCTION("""COMPUTED_VALUE"""),"Ranged")</f>
        <v>Ranged</v>
      </c>
      <c r="X307" s="64" t="str">
        <f ca="1">IFERROR(__xludf.DUMMYFUNCTION("""COMPUTED_VALUE"""),"PvZ 2 Chinease")</f>
        <v>PvZ 2 Chinease</v>
      </c>
      <c r="Y307" s="65" t="str">
        <f ca="1">IFERROR(__xludf.DUMMYFUNCTION("""COMPUTED_VALUE"""),"https://static.wikia.nocookie.net/plantsvszombies/images/6/65/Gorgon_Pitcher2.png/revision/latest?cb=20230526001308")</f>
        <v>https://static.wikia.nocookie.net/plantsvszombies/images/6/65/Gorgon_Pitcher2.png/revision/latest?cb=20230526001308</v>
      </c>
    </row>
    <row r="308" spans="1:25" x14ac:dyDescent="0.2">
      <c r="A308" s="64">
        <f ca="1">IFERROR(__xludf.DUMMYFUNCTION("""COMPUTED_VALUE"""),104)</f>
        <v>104</v>
      </c>
      <c r="B308" s="64" t="str">
        <f ca="1">IFERROR(__xludf.DUMMYFUNCTION("""COMPUTED_VALUE"""),"Abyss Anemone")</f>
        <v>Abyss Anemone</v>
      </c>
      <c r="C308" s="64" t="str">
        <f ca="1">IFERROR(__xludf.DUMMYFUNCTION("""COMPUTED_VALUE"""),"Anêmona Abissal")</f>
        <v>Anêmona Abissal</v>
      </c>
      <c r="D308" s="64" t="str">
        <f ca="1">IFERROR(__xludf.DUMMYFUNCTION("""COMPUTED_VALUE"""),"Encanta")</f>
        <v>Encanta</v>
      </c>
      <c r="E308" s="64" t="str">
        <f ca="1">IFERROR(__xludf.DUMMYFUNCTION("""COMPUTED_VALUE"""),"Drags zombies into the abyss and absorbs them, to charge the cracking eye.")</f>
        <v>Drags zombies into the abyss and absorbs them, to charge the cracking eye.</v>
      </c>
      <c r="F308" s="64">
        <f ca="1">IFERROR(__xludf.DUMMYFUNCTION("""COMPUTED_VALUE"""),50)</f>
        <v>50</v>
      </c>
      <c r="G308" s="64">
        <f ca="1">IFERROR(__xludf.DUMMYFUNCTION("""COMPUTED_VALUE"""),300)</f>
        <v>300</v>
      </c>
      <c r="H308" s="64">
        <f ca="1">IFERROR(__xludf.DUMMYFUNCTION("""COMPUTED_VALUE"""),400)</f>
        <v>400</v>
      </c>
      <c r="I308" s="64">
        <f ca="1">IFERROR(__xludf.DUMMYFUNCTION("""COMPUTED_VALUE"""),10)</f>
        <v>10</v>
      </c>
      <c r="J308" s="64" t="str">
        <f ca="1">IFERROR(__xludf.DUMMYFUNCTION("""COMPUTED_VALUE"""),"When fed Plant Food, Abyss Anemone will grab zombies in a 3x3 area, and drag them into the abyss, while also directly digesting them. Zombies that can not be dragged into the abyss will not be affected by this plant food effect.")</f>
        <v>When fed Plant Food, Abyss Anemone will grab zombies in a 3x3 area, and drag them into the abyss, while also directly digesting them. Zombies that can not be dragged into the abyss will not be affected by this plant food effect.</v>
      </c>
      <c r="K308" s="64" t="str">
        <f ca="1">IFERROR(__xludf.DUMMYFUNCTION("""COMPUTED_VALUE"""),"attack's rests 25 seconds. Costs more sun the more abyss anemone are on the board")</f>
        <v>attack's rests 25 seconds. Costs more sun the more abyss anemone are on the board</v>
      </c>
      <c r="L308" s="64"/>
      <c r="M308" s="64" t="b">
        <f ca="1">IFERROR(__xludf.DUMMYFUNCTION("""COMPUTED_VALUE"""),FALSE)</f>
        <v>0</v>
      </c>
      <c r="N308" s="64" t="b">
        <f ca="1">IFERROR(__xludf.DUMMYFUNCTION("""COMPUTED_VALUE"""),FALSE)</f>
        <v>0</v>
      </c>
      <c r="O308" s="64">
        <f ca="1">IFERROR(__xludf.DUMMYFUNCTION("""COMPUTED_VALUE"""),0)</f>
        <v>0</v>
      </c>
      <c r="P308" s="64" t="str">
        <f ca="1">IFERROR(__xludf.DUMMYFUNCTION("""COMPUTED_VALUE"""),"Legendary")</f>
        <v>Legendary</v>
      </c>
      <c r="Q308" s="64" t="str">
        <f ca="1">IFERROR(__xludf.DUMMYFUNCTION("""COMPUTED_VALUE"""),"abyss")</f>
        <v>abyss</v>
      </c>
      <c r="R308" s="64" t="str">
        <f ca="1">IFERROR(__xludf.DUMMYFUNCTION("""COMPUTED_VALUE"""),"Wood")</f>
        <v>Wood</v>
      </c>
      <c r="S308" s="64" t="str">
        <f ca="1">IFERROR(__xludf.DUMMYFUNCTION("""COMPUTED_VALUE"""),"Chinese Sementium")</f>
        <v>Chinese Sementium</v>
      </c>
      <c r="T308" s="64" t="str">
        <f ca="1">IFERROR(__xludf.DUMMYFUNCTION("""COMPUTED_VALUE"""),"None")</f>
        <v>None</v>
      </c>
      <c r="U308" s="64" t="str">
        <f ca="1">IFERROR(__xludf.DUMMYFUNCTION("""COMPUTED_VALUE"""),"None")</f>
        <v>None</v>
      </c>
      <c r="V308" s="64" t="str">
        <f ca="1">IFERROR(__xludf.DUMMYFUNCTION("""COMPUTED_VALUE"""),"cthulhuactinia")</f>
        <v>cthulhuactinia</v>
      </c>
      <c r="W308" s="64" t="str">
        <f ca="1">IFERROR(__xludf.DUMMYFUNCTION("""COMPUTED_VALUE"""),"Ranged")</f>
        <v>Ranged</v>
      </c>
      <c r="X308" s="64" t="str">
        <f ca="1">IFERROR(__xludf.DUMMYFUNCTION("""COMPUTED_VALUE"""),"PvZ 2 Chinease")</f>
        <v>PvZ 2 Chinease</v>
      </c>
      <c r="Y308" s="65" t="str">
        <f ca="1">IFERROR(__xludf.DUMMYFUNCTION("""COMPUTED_VALUE"""),"https://static.wikia.nocookie.net/plantsvszombies/images/4/47/Abyss_Anemone2.png/revision/latest?cb=20230707001419")</f>
        <v>https://static.wikia.nocookie.net/plantsvszombies/images/4/47/Abyss_Anemone2.png/revision/latest?cb=20230707001419</v>
      </c>
    </row>
    <row r="309" spans="1:25" x14ac:dyDescent="0.2">
      <c r="A309" s="64">
        <f ca="1">IFERROR(__xludf.DUMMYFUNCTION("""COMPUTED_VALUE"""),105)</f>
        <v>105</v>
      </c>
      <c r="B309" s="64" t="str">
        <f ca="1">IFERROR(__xludf.DUMMYFUNCTION("""COMPUTED_VALUE"""),"Parkour Mandrake")</f>
        <v>Parkour Mandrake</v>
      </c>
      <c r="C309" s="64" t="str">
        <f ca="1">IFERROR(__xludf.DUMMYFUNCTION("""COMPUTED_VALUE"""),"Mandrake Parkour")</f>
        <v>Mandrake Parkour</v>
      </c>
      <c r="D309" s="64" t="str">
        <f ca="1">IFERROR(__xludf.DUMMYFUNCTION("""COMPUTED_VALUE"""),"Surra")</f>
        <v>Surra</v>
      </c>
      <c r="E309" s="64" t="str">
        <f ca="1">IFERROR(__xludf.DUMMYFUNCTION("""COMPUTED_VALUE"""),"Parkour Mandrake runs forward, performing parkour actions when encountering zombies.")</f>
        <v>Parkour Mandrake runs forward, performing parkour actions when encountering zombies.</v>
      </c>
      <c r="F309" s="64">
        <f ca="1">IFERROR(__xludf.DUMMYFUNCTION("""COMPUTED_VALUE"""),225)</f>
        <v>225</v>
      </c>
      <c r="G309" s="64">
        <f ca="1">IFERROR(__xludf.DUMMYFUNCTION("""COMPUTED_VALUE"""),300)</f>
        <v>300</v>
      </c>
      <c r="H309" s="64">
        <f ca="1">IFERROR(__xludf.DUMMYFUNCTION("""COMPUTED_VALUE"""),100)</f>
        <v>100</v>
      </c>
      <c r="I309" s="64">
        <f ca="1">IFERROR(__xludf.DUMMYFUNCTION("""COMPUTED_VALUE"""),10)</f>
        <v>10</v>
      </c>
      <c r="J309" s="64" t="str">
        <f ca="1">IFERROR(__xludf.DUMMYFUNCTION("""COMPUTED_VALUE"""),"When fed Plant Food, Parkour Mandrake will charge forward at high speeds, knocking the entire lane of small and medium sized zombies in the air, causing damage to other zombies that couldn't be knocked.")</f>
        <v>When fed Plant Food, Parkour Mandrake will charge forward at high speeds, knocking the entire lane of small and medium sized zombies in the air, causing damage to other zombies that couldn't be knocked.</v>
      </c>
      <c r="K309" s="64"/>
      <c r="L309" s="64" t="str">
        <f ca="1">IFERROR(__xludf.DUMMYFUNCTION("""COMPUTED_VALUE"""),"Special - Runs forward, performing parkour actions when encountering zombies.")</f>
        <v>Special - Runs forward, performing parkour actions when encountering zombies.</v>
      </c>
      <c r="M309" s="64" t="b">
        <f ca="1">IFERROR(__xludf.DUMMYFUNCTION("""COMPUTED_VALUE"""),FALSE)</f>
        <v>0</v>
      </c>
      <c r="N309" s="64" t="b">
        <f ca="1">IFERROR(__xludf.DUMMYFUNCTION("""COMPUTED_VALUE"""),FALSE)</f>
        <v>0</v>
      </c>
      <c r="O309" s="64">
        <f ca="1">IFERROR(__xludf.DUMMYFUNCTION("""COMPUTED_VALUE"""),0)</f>
        <v>0</v>
      </c>
      <c r="P309" s="64" t="str">
        <f ca="1">IFERROR(__xludf.DUMMYFUNCTION("""COMPUTED_VALUE"""),"Legendary")</f>
        <v>Legendary</v>
      </c>
      <c r="Q309" s="64"/>
      <c r="R309" s="64" t="str">
        <f ca="1">IFERROR(__xludf.DUMMYFUNCTION("""COMPUTED_VALUE"""),"Root")</f>
        <v>Root</v>
      </c>
      <c r="S309" s="64" t="str">
        <f ca="1">IFERROR(__xludf.DUMMYFUNCTION("""COMPUTED_VALUE"""),"Chinese Sementium")</f>
        <v>Chinese Sementium</v>
      </c>
      <c r="T309" s="64" t="str">
        <f ca="1">IFERROR(__xludf.DUMMYFUNCTION("""COMPUTED_VALUE"""),"None")</f>
        <v>None</v>
      </c>
      <c r="U309" s="64" t="str">
        <f ca="1">IFERROR(__xludf.DUMMYFUNCTION("""COMPUTED_VALUE"""),"None")</f>
        <v>None</v>
      </c>
      <c r="V309" s="64" t="str">
        <f ca="1">IFERROR(__xludf.DUMMYFUNCTION("""COMPUTED_VALUE"""),"---")</f>
        <v>---</v>
      </c>
      <c r="W309" s="64" t="str">
        <f ca="1">IFERROR(__xludf.DUMMYFUNCTION("""COMPUTED_VALUE"""),"Ranged")</f>
        <v>Ranged</v>
      </c>
      <c r="X309" s="64" t="str">
        <f ca="1">IFERROR(__xludf.DUMMYFUNCTION("""COMPUTED_VALUE"""),"PvZ 2 Chinease")</f>
        <v>PvZ 2 Chinease</v>
      </c>
      <c r="Y309" s="65" t="str">
        <f ca="1">IFERROR(__xludf.DUMMYFUNCTION("""COMPUTED_VALUE"""),"https://static.wikia.nocookie.net/plantsvszombies/images/4/41/Parkour_Mandrake2.png/revision/latest?cb=20230707000354")</f>
        <v>https://static.wikia.nocookie.net/plantsvszombies/images/4/41/Parkour_Mandrake2.png/revision/latest?cb=20230707000354</v>
      </c>
    </row>
    <row r="310" spans="1:25" x14ac:dyDescent="0.2">
      <c r="A310" s="64">
        <f ca="1">IFERROR(__xludf.DUMMYFUNCTION("""COMPUTED_VALUE"""),106)</f>
        <v>106</v>
      </c>
      <c r="B310" s="64" t="str">
        <f ca="1">IFERROR(__xludf.DUMMYFUNCTION("""COMPUTED_VALUE"""),"Abyss Devil's Claw")</f>
        <v>Abyss Devil's Claw</v>
      </c>
      <c r="C310" s="64" t="str">
        <f ca="1">IFERROR(__xludf.DUMMYFUNCTION("""COMPUTED_VALUE"""),"Garra Demoniaca Abissal")</f>
        <v>Garra Demoniaca Abissal</v>
      </c>
      <c r="D310" s="64" t="str">
        <f ca="1">IFERROR(__xludf.DUMMYFUNCTION("""COMPUTED_VALUE"""),"Encanta")</f>
        <v>Encanta</v>
      </c>
      <c r="E310" s="64" t="str">
        <f ca="1">IFERROR(__xludf.DUMMYFUNCTION("""COMPUTED_VALUE"""),"Abyss Devil's Claw can summon Abyss Disciples to squeeze zombies to attack and absorb energy.")</f>
        <v>Abyss Devil's Claw can summon Abyss Disciples to squeeze zombies to attack and absorb energy.</v>
      </c>
      <c r="F310" s="64">
        <f ca="1">IFERROR(__xludf.DUMMYFUNCTION("""COMPUTED_VALUE"""),50)</f>
        <v>50</v>
      </c>
      <c r="G310" s="64">
        <f ca="1">IFERROR(__xludf.DUMMYFUNCTION("""COMPUTED_VALUE"""),300)</f>
        <v>300</v>
      </c>
      <c r="H310" s="64">
        <f ca="1">IFERROR(__xludf.DUMMYFUNCTION("""COMPUTED_VALUE"""),900)</f>
        <v>900</v>
      </c>
      <c r="I310" s="64">
        <f ca="1">IFERROR(__xludf.DUMMYFUNCTION("""COMPUTED_VALUE"""),10)</f>
        <v>10</v>
      </c>
      <c r="J310" s="64" t="str">
        <f ca="1">IFERROR(__xludf.DUMMYFUNCTION("""COMPUTED_VALUE"""),"Spits out an egg that will instantly hatch into a Disciple Gargantuar. Disciple Gargantuar will move down their lanes and attack enemy zombies, leaving behind a slowing puddle of acid upon death.")</f>
        <v>Spits out an egg that will instantly hatch into a Disciple Gargantuar. Disciple Gargantuar will move down their lanes and attack enemy zombies, leaving behind a slowing puddle of acid upon death.</v>
      </c>
      <c r="K310" s="64" t="str">
        <f ca="1">IFERROR(__xludf.DUMMYFUNCTION("""COMPUTED_VALUE"""),"Costs more sun the more abyss devil's claw are on the board")</f>
        <v>Costs more sun the more abyss devil's claw are on the board</v>
      </c>
      <c r="L310" s="64"/>
      <c r="M310" s="64" t="b">
        <f ca="1">IFERROR(__xludf.DUMMYFUNCTION("""COMPUTED_VALUE"""),FALSE)</f>
        <v>0</v>
      </c>
      <c r="N310" s="64" t="b">
        <f ca="1">IFERROR(__xludf.DUMMYFUNCTION("""COMPUTED_VALUE"""),FALSE)</f>
        <v>0</v>
      </c>
      <c r="O310" s="64">
        <f ca="1">IFERROR(__xludf.DUMMYFUNCTION("""COMPUTED_VALUE"""),0)</f>
        <v>0</v>
      </c>
      <c r="P310" s="64" t="str">
        <f ca="1">IFERROR(__xludf.DUMMYFUNCTION("""COMPUTED_VALUE"""),"Legendary")</f>
        <v>Legendary</v>
      </c>
      <c r="Q310" s="64" t="str">
        <f ca="1">IFERROR(__xludf.DUMMYFUNCTION("""COMPUTED_VALUE"""),"abyss, summon")</f>
        <v>abyss, summon</v>
      </c>
      <c r="R310" s="64" t="str">
        <f ca="1">IFERROR(__xludf.DUMMYFUNCTION("""COMPUTED_VALUE"""),"Flower")</f>
        <v>Flower</v>
      </c>
      <c r="S310" s="64" t="str">
        <f ca="1">IFERROR(__xludf.DUMMYFUNCTION("""COMPUTED_VALUE"""),"Chinese Sementium")</f>
        <v>Chinese Sementium</v>
      </c>
      <c r="T310" s="64" t="str">
        <f ca="1">IFERROR(__xludf.DUMMYFUNCTION("""COMPUTED_VALUE"""),"None")</f>
        <v>None</v>
      </c>
      <c r="U310" s="64" t="str">
        <f ca="1">IFERROR(__xludf.DUMMYFUNCTION("""COMPUTED_VALUE"""),"None")</f>
        <v>None</v>
      </c>
      <c r="V310" s="64" t="str">
        <f ca="1">IFERROR(__xludf.DUMMYFUNCTION("""COMPUTED_VALUE"""),"devilsflower")</f>
        <v>devilsflower</v>
      </c>
      <c r="W310" s="64" t="str">
        <f ca="1">IFERROR(__xludf.DUMMYFUNCTION("""COMPUTED_VALUE"""),"Ranged")</f>
        <v>Ranged</v>
      </c>
      <c r="X310" s="64" t="str">
        <f ca="1">IFERROR(__xludf.DUMMYFUNCTION("""COMPUTED_VALUE"""),"PvZ 2 Chinease")</f>
        <v>PvZ 2 Chinease</v>
      </c>
      <c r="Y310" s="65" t="str">
        <f ca="1">IFERROR(__xludf.DUMMYFUNCTION("""COMPUTED_VALUE"""),"https://static.wikia.nocookie.net/plantsvszombies/images/8/8c/Abyss_Devil%27s_Claw2.png/revision/latest?cb=20230915022000")</f>
        <v>https://static.wikia.nocookie.net/plantsvszombies/images/8/8c/Abyss_Devil%27s_Claw2.png/revision/latest?cb=20230915022000</v>
      </c>
    </row>
    <row r="311" spans="1:25" x14ac:dyDescent="0.2">
      <c r="A311" s="64">
        <f ca="1">IFERROR(__xludf.DUMMYFUNCTION("""COMPUTED_VALUE"""),107)</f>
        <v>107</v>
      </c>
      <c r="B311" s="64" t="str">
        <f ca="1">IFERROR(__xludf.DUMMYFUNCTION("""COMPUTED_VALUE"""),"Hoya Heart")</f>
        <v>Hoya Heart</v>
      </c>
      <c r="C311" s="64" t="str">
        <f ca="1">IFERROR(__xludf.DUMMYFUNCTION("""COMPUTED_VALUE"""),"Hoya Fanática")</f>
        <v>Hoya Fanática</v>
      </c>
      <c r="D311" s="64" t="str">
        <f ca="1">IFERROR(__xludf.DUMMYFUNCTION("""COMPUTED_VALUE"""),"Refrea")</f>
        <v>Refrea</v>
      </c>
      <c r="E311" s="64" t="str">
        <f ca="1">IFERROR(__xludf.DUMMYFUNCTION("""COMPUTED_VALUE"""),"Supports the plant in front of him, increasing his attack power and restoring health.")</f>
        <v>Supports the plant in front of him, increasing his attack power and restoring health.</v>
      </c>
      <c r="F311" s="64">
        <f ca="1">IFERROR(__xludf.DUMMYFUNCTION("""COMPUTED_VALUE"""),75)</f>
        <v>75</v>
      </c>
      <c r="G311" s="64">
        <f ca="1">IFERROR(__xludf.DUMMYFUNCTION("""COMPUTED_VALUE"""),300)</f>
        <v>300</v>
      </c>
      <c r="H311" s="64">
        <f ca="1">IFERROR(__xludf.DUMMYFUNCTION("""COMPUTED_VALUE"""),0)</f>
        <v>0</v>
      </c>
      <c r="I311" s="64">
        <f ca="1">IFERROR(__xludf.DUMMYFUNCTION("""COMPUTED_VALUE"""),10)</f>
        <v>10</v>
      </c>
      <c r="J311" s="64" t="str">
        <f ca="1">IFERROR(__xludf.DUMMYFUNCTION("""COMPUTED_VALUE"""),"When fed with Plant Food, Hoya Heart will cheer on all plants in a 3x3 area, granting an 80% increased in damage and higher healing compared to his normal ability. When the effect is over the plants boosted will have permanent 30% damage increase that can"&amp;"not be stacked. At level 5, the plants around him will have invincibility for 15 seconds.")</f>
        <v>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v>
      </c>
      <c r="K311" s="64" t="str">
        <f ca="1">IFERROR(__xludf.DUMMYFUNCTION("""COMPUTED_VALUE"""),"Support the plant ahead for 10 seconds")</f>
        <v>Support the plant ahead for 10 seconds</v>
      </c>
      <c r="L311" s="64"/>
      <c r="M311" s="64" t="b">
        <f ca="1">IFERROR(__xludf.DUMMYFUNCTION("""COMPUTED_VALUE"""),FALSE)</f>
        <v>0</v>
      </c>
      <c r="N311" s="64" t="b">
        <f ca="1">IFERROR(__xludf.DUMMYFUNCTION("""COMPUTED_VALUE"""),FALSE)</f>
        <v>0</v>
      </c>
      <c r="O311" s="64">
        <f ca="1">IFERROR(__xludf.DUMMYFUNCTION("""COMPUTED_VALUE"""),0)</f>
        <v>0</v>
      </c>
      <c r="P311" s="64" t="str">
        <f ca="1">IFERROR(__xludf.DUMMYFUNCTION("""COMPUTED_VALUE"""),"Legendary")</f>
        <v>Legendary</v>
      </c>
      <c r="Q311" s="64" t="str">
        <f ca="1">IFERROR(__xludf.DUMMYFUNCTION("""COMPUTED_VALUE"""),"boost")</f>
        <v>boost</v>
      </c>
      <c r="R311" s="64" t="str">
        <f ca="1">IFERROR(__xludf.DUMMYFUNCTION("""COMPUTED_VALUE"""),"Flower")</f>
        <v>Flower</v>
      </c>
      <c r="S311" s="64" t="str">
        <f ca="1">IFERROR(__xludf.DUMMYFUNCTION("""COMPUTED_VALUE"""),"Chinese Sementium")</f>
        <v>Chinese Sementium</v>
      </c>
      <c r="T311" s="64" t="str">
        <f ca="1">IFERROR(__xludf.DUMMYFUNCTION("""COMPUTED_VALUE"""),"None")</f>
        <v>None</v>
      </c>
      <c r="U311" s="64" t="str">
        <f ca="1">IFERROR(__xludf.DUMMYFUNCTION("""COMPUTED_VALUE"""),"None")</f>
        <v>None</v>
      </c>
      <c r="V311" s="64" t="str">
        <f ca="1">IFERROR(__xludf.DUMMYFUNCTION("""COMPUTED_VALUE"""),"hoyacordata")</f>
        <v>hoyacordata</v>
      </c>
      <c r="W311" s="64" t="str">
        <f ca="1">IFERROR(__xludf.DUMMYFUNCTION("""COMPUTED_VALUE"""),"Support")</f>
        <v>Support</v>
      </c>
      <c r="X311" s="64" t="str">
        <f ca="1">IFERROR(__xludf.DUMMYFUNCTION("""COMPUTED_VALUE"""),"PvZ 2 Chinease")</f>
        <v>PvZ 2 Chinease</v>
      </c>
      <c r="Y311" s="65" t="str">
        <f ca="1">IFERROR(__xludf.DUMMYFUNCTION("""COMPUTED_VALUE"""),"https://static.wikia.nocookie.net/plantsvszombies/images/a/a6/Hoya_Heart2.png/revision/latest?cb=20230903215635")</f>
        <v>https://static.wikia.nocookie.net/plantsvszombies/images/a/a6/Hoya_Heart2.png/revision/latest?cb=20230903215635</v>
      </c>
    </row>
    <row r="312" spans="1:25" x14ac:dyDescent="0.2">
      <c r="A312" s="64">
        <f ca="1">IFERROR(__xludf.DUMMYFUNCTION("""COMPUTED_VALUE"""),108)</f>
        <v>108</v>
      </c>
      <c r="B312" s="64" t="str">
        <f ca="1">IFERROR(__xludf.DUMMYFUNCTION("""COMPUTED_VALUE"""),"Oilseed-pult")</f>
        <v>Oilseed-pult</v>
      </c>
      <c r="C312" s="64" t="str">
        <f ca="1">IFERROR(__xludf.DUMMYFUNCTION("""COMPUTED_VALUE"""),"Colza-pulta")</f>
        <v>Colza-pulta</v>
      </c>
      <c r="D312" s="64" t="str">
        <f ca="1">IFERROR(__xludf.DUMMYFUNCTION("""COMPUTED_VALUE"""),"Arma")</f>
        <v>Arma</v>
      </c>
      <c r="E312" s="64" t="str">
        <f ca="1">IFERROR(__xludf.DUMMYFUNCTION("""COMPUTED_VALUE"""),"Throws oil seeds to ignite zombies or create pillars of fire.")</f>
        <v>Throws oil seeds to ignite zombies or create pillars of fire.</v>
      </c>
      <c r="F312" s="64">
        <f ca="1">IFERROR(__xludf.DUMMYFUNCTION("""COMPUTED_VALUE"""),250)</f>
        <v>250</v>
      </c>
      <c r="G312" s="64">
        <f ca="1">IFERROR(__xludf.DUMMYFUNCTION("""COMPUTED_VALUE"""),300)</f>
        <v>300</v>
      </c>
      <c r="H312" s="64">
        <f ca="1">IFERROR(__xludf.DUMMYFUNCTION("""COMPUTED_VALUE"""),50)</f>
        <v>50</v>
      </c>
      <c r="I312" s="64">
        <f ca="1">IFERROR(__xludf.DUMMYFUNCTION("""COMPUTED_VALUE"""),7.5)</f>
        <v>7.5</v>
      </c>
      <c r="J312" s="64" t="str">
        <f ca="1">IFERROR(__xludf.DUMMYFUNCTION("""COMPUTED_VALUE"""),"When given Plant Food, Oilseed-pult will throws oil seeds at every zombie and obstacle on the lawn.")</f>
        <v>When given Plant Food, Oilseed-pult will throws oil seeds at every zombie and obstacle on the lawn.</v>
      </c>
      <c r="K312" s="64"/>
      <c r="L312" s="64"/>
      <c r="M312" s="64" t="b">
        <f ca="1">IFERROR(__xludf.DUMMYFUNCTION("""COMPUTED_VALUE"""),FALSE)</f>
        <v>0</v>
      </c>
      <c r="N312" s="64" t="b">
        <f ca="1">IFERROR(__xludf.DUMMYFUNCTION("""COMPUTED_VALUE"""),FALSE)</f>
        <v>0</v>
      </c>
      <c r="O312" s="64">
        <f ca="1">IFERROR(__xludf.DUMMYFUNCTION("""COMPUTED_VALUE"""),0)</f>
        <v>0</v>
      </c>
      <c r="P312" s="64" t="str">
        <f ca="1">IFERROR(__xludf.DUMMYFUNCTION("""COMPUTED_VALUE"""),"Legendary")</f>
        <v>Legendary</v>
      </c>
      <c r="Q312" s="64" t="str">
        <f ca="1">IFERROR(__xludf.DUMMYFUNCTION("""COMPUTED_VALUE"""),"butter, warm")</f>
        <v>butter, warm</v>
      </c>
      <c r="R312" s="64" t="str">
        <f ca="1">IFERROR(__xludf.DUMMYFUNCTION("""COMPUTED_VALUE"""),"Flower")</f>
        <v>Flower</v>
      </c>
      <c r="S312" s="64" t="str">
        <f ca="1">IFERROR(__xludf.DUMMYFUNCTION("""COMPUTED_VALUE"""),"Chinese Sementium")</f>
        <v>Chinese Sementium</v>
      </c>
      <c r="T312" s="64" t="str">
        <f ca="1">IFERROR(__xludf.DUMMYFUNCTION("""COMPUTED_VALUE"""),"None")</f>
        <v>None</v>
      </c>
      <c r="U312" s="64" t="str">
        <f ca="1">IFERROR(__xludf.DUMMYFUNCTION("""COMPUTED_VALUE"""),"None")</f>
        <v>None</v>
      </c>
      <c r="V312" s="64" t="str">
        <f ca="1">IFERROR(__xludf.DUMMYFUNCTION("""COMPUTED_VALUE"""),"rapeflower")</f>
        <v>rapeflower</v>
      </c>
      <c r="W312" s="64" t="str">
        <f ca="1">IFERROR(__xludf.DUMMYFUNCTION("""COMPUTED_VALUE"""),"Ranged")</f>
        <v>Ranged</v>
      </c>
      <c r="X312" s="64" t="str">
        <f ca="1">IFERROR(__xludf.DUMMYFUNCTION("""COMPUTED_VALUE"""),"PvZ 2 Chinease")</f>
        <v>PvZ 2 Chinease</v>
      </c>
      <c r="Y312" s="65" t="str">
        <f ca="1">IFERROR(__xludf.DUMMYFUNCTION("""COMPUTED_VALUE"""),"https://static.wikia.nocookie.net/plantsvszombies/images/5/58/Oilseed-pult2.png/revision/latest?cb=20230926000742")</f>
        <v>https://static.wikia.nocookie.net/plantsvszombies/images/5/58/Oilseed-pult2.png/revision/latest?cb=20230926000742</v>
      </c>
    </row>
    <row r="313" spans="1:25" x14ac:dyDescent="0.2">
      <c r="A313" s="64">
        <f ca="1">IFERROR(__xludf.DUMMYFUNCTION("""COMPUTED_VALUE"""),109)</f>
        <v>109</v>
      </c>
      <c r="B313" s="64" t="str">
        <f ca="1">IFERROR(__xludf.DUMMYFUNCTION("""COMPUTED_VALUE"""),"Leaf-Blade Dracaena")</f>
        <v>Leaf-Blade Dracaena</v>
      </c>
      <c r="C313" s="64" t="str">
        <f ca="1">IFERROR(__xludf.DUMMYFUNCTION("""COMPUTED_VALUE"""),"Dragoeiro Folha Lâmina")</f>
        <v>Dragoeiro Folha Lâmina</v>
      </c>
      <c r="D313" s="64" t="str">
        <f ca="1">IFERROR(__xludf.DUMMYFUNCTION("""COMPUTED_VALUE"""),"Perfura")</f>
        <v>Perfura</v>
      </c>
      <c r="E313" s="64" t="str">
        <f ca="1">IFERROR(__xludf.DUMMYFUNCTION("""COMPUTED_VALUE"""),"Attacks forthcoming zombies by occasionally sending out an energy sword to attack. After the energy sword damages the zombie, the large sword behind the plant will fly out to deal damage to the zombie before returning to the plant. If a zombie attacked by"&amp;" the giant sword is attacked with less than 40% of its total health, the zombie will be instantly killed, with the only exception being boss zombies.")</f>
        <v>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v>
      </c>
      <c r="F313" s="64">
        <f ca="1">IFERROR(__xludf.DUMMYFUNCTION("""COMPUTED_VALUE"""),250)</f>
        <v>250</v>
      </c>
      <c r="G313" s="64">
        <f ca="1">IFERROR(__xludf.DUMMYFUNCTION("""COMPUTED_VALUE"""),300)</f>
        <v>300</v>
      </c>
      <c r="H313" s="64">
        <f ca="1">IFERROR(__xludf.DUMMYFUNCTION("""COMPUTED_VALUE"""),80)</f>
        <v>80</v>
      </c>
      <c r="I313" s="64">
        <f ca="1">IFERROR(__xludf.DUMMYFUNCTION("""COMPUTED_VALUE"""),6.5)</f>
        <v>6.5</v>
      </c>
      <c r="J313" s="64" t="str">
        <f ca="1">IFERROR(__xludf.DUMMYFUNCTION("""COMPUTED_VALUE"""),"When fed Plant Food, Dracaena summons a large amount of swords forwards which deals a heavy amount of knockback damage.")</f>
        <v>When fed Plant Food, Dracaena summons a large amount of swords forwards which deals a heavy amount of knockback damage.</v>
      </c>
      <c r="K313" s="64"/>
      <c r="L313" s="64"/>
      <c r="M313" s="64" t="b">
        <f ca="1">IFERROR(__xludf.DUMMYFUNCTION("""COMPUTED_VALUE"""),FALSE)</f>
        <v>0</v>
      </c>
      <c r="N313" s="64" t="b">
        <f ca="1">IFERROR(__xludf.DUMMYFUNCTION("""COMPUTED_VALUE"""),FALSE)</f>
        <v>0</v>
      </c>
      <c r="O313" s="64">
        <f ca="1">IFERROR(__xludf.DUMMYFUNCTION("""COMPUTED_VALUE"""),0)</f>
        <v>0</v>
      </c>
      <c r="P313" s="64" t="str">
        <f ca="1">IFERROR(__xludf.DUMMYFUNCTION("""COMPUTED_VALUE"""),"Legendary")</f>
        <v>Legendary</v>
      </c>
      <c r="Q313" s="64"/>
      <c r="R313" s="64" t="str">
        <f ca="1">IFERROR(__xludf.DUMMYFUNCTION("""COMPUTED_VALUE"""),"Wood")</f>
        <v>Wood</v>
      </c>
      <c r="S313" s="64" t="str">
        <f ca="1">IFERROR(__xludf.DUMMYFUNCTION("""COMPUTED_VALUE"""),"Chinese Sementium")</f>
        <v>Chinese Sementium</v>
      </c>
      <c r="T313" s="64" t="str">
        <f ca="1">IFERROR(__xludf.DUMMYFUNCTION("""COMPUTED_VALUE"""),"None")</f>
        <v>None</v>
      </c>
      <c r="U313" s="64" t="str">
        <f ca="1">IFERROR(__xludf.DUMMYFUNCTION("""COMPUTED_VALUE"""),"None")</f>
        <v>None</v>
      </c>
      <c r="V313" s="64" t="str">
        <f ca="1">IFERROR(__xludf.DUMMYFUNCTION("""COMPUTED_VALUE"""),"dracaena")</f>
        <v>dracaena</v>
      </c>
      <c r="W313" s="64" t="str">
        <f ca="1">IFERROR(__xludf.DUMMYFUNCTION("""COMPUTED_VALUE"""),"Ranged")</f>
        <v>Ranged</v>
      </c>
      <c r="X313" s="64" t="str">
        <f ca="1">IFERROR(__xludf.DUMMYFUNCTION("""COMPUTED_VALUE"""),"PvZ 2 Chinease")</f>
        <v>PvZ 2 Chinease</v>
      </c>
      <c r="Y313" s="65" t="str">
        <f ca="1">IFERROR(__xludf.DUMMYFUNCTION("""COMPUTED_VALUE"""),"https://static.wikia.nocookie.net/plantsvszombies/images/d/d8/Leaf-Blade_Dracaena2.png/revision/latest?cb=20231115171036")</f>
        <v>https://static.wikia.nocookie.net/plantsvszombies/images/d/d8/Leaf-Blade_Dracaena2.png/revision/latest?cb=20231115171036</v>
      </c>
    </row>
    <row r="314" spans="1:25" x14ac:dyDescent="0.2">
      <c r="A314" s="64">
        <f ca="1">IFERROR(__xludf.DUMMYFUNCTION("""COMPUTED_VALUE"""),110)</f>
        <v>110</v>
      </c>
      <c r="B314" s="64" t="str">
        <f ca="1">IFERROR(__xludf.DUMMYFUNCTION("""COMPUTED_VALUE"""),"Sunshine Leek")</f>
        <v>Sunshine Leek</v>
      </c>
      <c r="C314" s="64" t="str">
        <f ca="1">IFERROR(__xludf.DUMMYFUNCTION("""COMPUTED_VALUE"""),"Alho-poró solar")</f>
        <v>Alho-poró solar</v>
      </c>
      <c r="D314" s="64" t="str">
        <f ca="1">IFERROR(__xludf.DUMMYFUNCTION("""COMPUTED_VALUE"""),"Esclarecida")</f>
        <v>Esclarecida</v>
      </c>
      <c r="E314" s="64" t="str">
        <f ca="1">IFERROR(__xludf.DUMMYFUNCTION("""COMPUTED_VALUE"""),"Produces sun, and diverts zombies to other lanes.")</f>
        <v>Produces sun, and diverts zombies to other lanes.</v>
      </c>
      <c r="F314" s="64">
        <f ca="1">IFERROR(__xludf.DUMMYFUNCTION("""COMPUTED_VALUE"""),50)</f>
        <v>50</v>
      </c>
      <c r="G314" s="64">
        <f ca="1">IFERROR(__xludf.DUMMYFUNCTION("""COMPUTED_VALUE"""),1000)</f>
        <v>1000</v>
      </c>
      <c r="H314" s="64">
        <f ca="1">IFERROR(__xludf.DUMMYFUNCTION("""COMPUTED_VALUE"""),0)</f>
        <v>0</v>
      </c>
      <c r="I314" s="64">
        <f ca="1">IFERROR(__xludf.DUMMYFUNCTION("""COMPUTED_VALUE"""),10)</f>
        <v>10</v>
      </c>
      <c r="J314" s="64" t="str">
        <f ca="1">IFERROR(__xludf.DUMMYFUNCTION("""COMPUTED_VALUE"""),"Instantly turns into elder mode and produce suns.")</f>
        <v>Instantly turns into elder mode and produce suns.</v>
      </c>
      <c r="K314" s="64"/>
      <c r="L314" s="64"/>
      <c r="M314" s="64" t="b">
        <f ca="1">IFERROR(__xludf.DUMMYFUNCTION("""COMPUTED_VALUE"""),FALSE)</f>
        <v>0</v>
      </c>
      <c r="N314" s="64" t="b">
        <f ca="1">IFERROR(__xludf.DUMMYFUNCTION("""COMPUTED_VALUE"""),FALSE)</f>
        <v>0</v>
      </c>
      <c r="O314" s="64">
        <f ca="1">IFERROR(__xludf.DUMMYFUNCTION("""COMPUTED_VALUE"""),50)</f>
        <v>50</v>
      </c>
      <c r="P314" s="64" t="str">
        <f ca="1">IFERROR(__xludf.DUMMYFUNCTION("""COMPUTED_VALUE"""),"Legendary")</f>
        <v>Legendary</v>
      </c>
      <c r="Q314" s="64" t="str">
        <f ca="1">IFERROR(__xludf.DUMMYFUNCTION("""COMPUTED_VALUE"""),"stun, area-effect")</f>
        <v>stun, area-effect</v>
      </c>
      <c r="R314" s="64" t="str">
        <f ca="1">IFERROR(__xludf.DUMMYFUNCTION("""COMPUTED_VALUE"""),"Leaf")</f>
        <v>Leaf</v>
      </c>
      <c r="S314" s="64" t="str">
        <f ca="1">IFERROR(__xludf.DUMMYFUNCTION("""COMPUTED_VALUE"""),"Chinese Sementium")</f>
        <v>Chinese Sementium</v>
      </c>
      <c r="T314" s="64" t="str">
        <f ca="1">IFERROR(__xludf.DUMMYFUNCTION("""COMPUTED_VALUE"""),"None")</f>
        <v>None</v>
      </c>
      <c r="U314" s="64" t="str">
        <f ca="1">IFERROR(__xludf.DUMMYFUNCTION("""COMPUTED_VALUE"""),"None")</f>
        <v>None</v>
      </c>
      <c r="V314" s="64" t="str">
        <f ca="1">IFERROR(__xludf.DUMMYFUNCTION("""COMPUTED_VALUE"""),"solarleek")</f>
        <v>solarleek</v>
      </c>
      <c r="W314" s="64" t="str">
        <f ca="1">IFERROR(__xludf.DUMMYFUNCTION("""COMPUTED_VALUE"""),"Sun")</f>
        <v>Sun</v>
      </c>
      <c r="X314" s="64" t="str">
        <f ca="1">IFERROR(__xludf.DUMMYFUNCTION("""COMPUTED_VALUE"""),"PvZ 2 Chinease")</f>
        <v>PvZ 2 Chinease</v>
      </c>
      <c r="Y314" s="65" t="str">
        <f ca="1">IFERROR(__xludf.DUMMYFUNCTION("""COMPUTED_VALUE"""),"https://static.wikia.nocookie.net/plantsvszombies/images/6/62/Sunshine_Leek2.png/revision/latest?cb=20231228004246")</f>
        <v>https://static.wikia.nocookie.net/plantsvszombies/images/6/62/Sunshine_Leek2.png/revision/latest?cb=20231228004246</v>
      </c>
    </row>
    <row r="315" spans="1:25" x14ac:dyDescent="0.2">
      <c r="A315" s="64">
        <f ca="1">IFERROR(__xludf.DUMMYFUNCTION("""COMPUTED_VALUE"""),111)</f>
        <v>111</v>
      </c>
      <c r="B315" s="64" t="str">
        <f ca="1">IFERROR(__xludf.DUMMYFUNCTION("""COMPUTED_VALUE"""),"Gluttonous Snapdragon")</f>
        <v>Gluttonous Snapdragon</v>
      </c>
      <c r="C315" s="64" t="str">
        <f ca="1">IFERROR(__xludf.DUMMYFUNCTION("""COMPUTED_VALUE"""),"Boca-de-Dragão Devorador")</f>
        <v>Boca-de-Dragão Devorador</v>
      </c>
      <c r="D315" s="64" t="str">
        <f ca="1">IFERROR(__xludf.DUMMYFUNCTION("""COMPUTED_VALUE"""),"Surra")</f>
        <v>Surra</v>
      </c>
      <c r="E315" s="64" t="str">
        <f ca="1">IFERROR(__xludf.DUMMYFUNCTION("""COMPUTED_VALUE"""),"Eats snacks or nibbles zombies to build up energy, then consumes the energy to spit out flames.")</f>
        <v>Eats snacks or nibbles zombies to build up energy, then consumes the energy to spit out flames.</v>
      </c>
      <c r="F315" s="64">
        <f ca="1">IFERROR(__xludf.DUMMYFUNCTION("""COMPUTED_VALUE"""),200)</f>
        <v>200</v>
      </c>
      <c r="G315" s="64">
        <f ca="1">IFERROR(__xludf.DUMMYFUNCTION("""COMPUTED_VALUE"""),300)</f>
        <v>300</v>
      </c>
      <c r="H315" s="64">
        <f ca="1">IFERROR(__xludf.DUMMYFUNCTION("""COMPUTED_VALUE"""),60)</f>
        <v>60</v>
      </c>
      <c r="I315" s="64">
        <f ca="1">IFERROR(__xludf.DUMMYFUNCTION("""COMPUTED_VALUE"""),5)</f>
        <v>5</v>
      </c>
      <c r="J315" s="64" t="str">
        <f ca="1">IFERROR(__xludf.DUMMYFUNCTION("""COMPUTED_VALUE"""),"Inhales several zombies then burps from a long range.")</f>
        <v>Inhales several zombies then burps from a long range.</v>
      </c>
      <c r="K315" s="64"/>
      <c r="L315" s="64"/>
      <c r="M315" s="64" t="b">
        <f ca="1">IFERROR(__xludf.DUMMYFUNCTION("""COMPUTED_VALUE"""),FALSE)</f>
        <v>0</v>
      </c>
      <c r="N315" s="64" t="b">
        <f ca="1">IFERROR(__xludf.DUMMYFUNCTION("""COMPUTED_VALUE"""),FALSE)</f>
        <v>0</v>
      </c>
      <c r="O315" s="64">
        <f ca="1">IFERROR(__xludf.DUMMYFUNCTION("""COMPUTED_VALUE"""),0)</f>
        <v>0</v>
      </c>
      <c r="P315" s="64" t="str">
        <f ca="1">IFERROR(__xludf.DUMMYFUNCTION("""COMPUTED_VALUE"""),"Legendary")</f>
        <v>Legendary</v>
      </c>
      <c r="Q315" s="64" t="str">
        <f ca="1">IFERROR(__xludf.DUMMYFUNCTION("""COMPUTED_VALUE"""),"chomper, dragon, zodiac")</f>
        <v>chomper, dragon, zodiac</v>
      </c>
      <c r="R315" s="64" t="str">
        <f ca="1">IFERROR(__xludf.DUMMYFUNCTION("""COMPUTED_VALUE"""),"Flower")</f>
        <v>Flower</v>
      </c>
      <c r="S315" s="64" t="str">
        <f ca="1">IFERROR(__xludf.DUMMYFUNCTION("""COMPUTED_VALUE"""),"Chinese Sementium")</f>
        <v>Chinese Sementium</v>
      </c>
      <c r="T315" s="64" t="str">
        <f ca="1">IFERROR(__xludf.DUMMYFUNCTION("""COMPUTED_VALUE"""),"None")</f>
        <v>None</v>
      </c>
      <c r="U315" s="64" t="str">
        <f ca="1">IFERROR(__xludf.DUMMYFUNCTION("""COMPUTED_VALUE"""),"None")</f>
        <v>None</v>
      </c>
      <c r="V315" s="64" t="str">
        <f ca="1">IFERROR(__xludf.DUMMYFUNCTION("""COMPUTED_VALUE"""),"gluttonydragon")</f>
        <v>gluttonydragon</v>
      </c>
      <c r="W315" s="64" t="str">
        <f ca="1">IFERROR(__xludf.DUMMYFUNCTION("""COMPUTED_VALUE"""),"Ranged")</f>
        <v>Ranged</v>
      </c>
      <c r="X315" s="64" t="str">
        <f ca="1">IFERROR(__xludf.DUMMYFUNCTION("""COMPUTED_VALUE"""),"PvZ 2 Chinease")</f>
        <v>PvZ 2 Chinease</v>
      </c>
      <c r="Y315" s="65" t="str">
        <f ca="1">IFERROR(__xludf.DUMMYFUNCTION("""COMPUTED_VALUE"""),"https://static.wikia.nocookie.net/plantsvszombies/images/f/f1/Gluttonous_Snapdragon2.png/revision/latest?cb=20240202052734")</f>
        <v>https://static.wikia.nocookie.net/plantsvszombies/images/f/f1/Gluttonous_Snapdragon2.png/revision/latest?cb=20240202052734</v>
      </c>
    </row>
    <row r="316" spans="1:25" x14ac:dyDescent="0.2">
      <c r="A316" s="64">
        <f ca="1">IFERROR(__xludf.DUMMYFUNCTION("""COMPUTED_VALUE"""),112)</f>
        <v>112</v>
      </c>
      <c r="B316" s="64" t="str">
        <f ca="1">IFERROR(__xludf.DUMMYFUNCTION("""COMPUTED_VALUE"""),"Heliconia Gunner")</f>
        <v>Heliconia Gunner</v>
      </c>
      <c r="C316" s="64" t="str">
        <f ca="1">IFERROR(__xludf.DUMMYFUNCTION("""COMPUTED_VALUE"""),"Helicôniadora")</f>
        <v>Helicôniadora</v>
      </c>
      <c r="D316" s="64" t="str">
        <f ca="1">IFERROR(__xludf.DUMMYFUNCTION("""COMPUTED_VALUE"""),"Dispara")</f>
        <v>Dispara</v>
      </c>
      <c r="E316" s="64" t="str">
        <f ca="1">IFERROR(__xludf.DUMMYFUNCTION("""COMPUTED_VALUE"""),"Normal ability: Uses their machine gun to shoot zombies, giving priority to the zombies on behind. They needs to change bullets after a round of shooting.
Net gun: There are 3 net guns on the back. Attack zombies to make them unable to move. The number o"&amp;"f net guns can’t be recovered.")</f>
        <v>Normal ability: Uses their machine gun to shoot zombies, giving priority to the zombies on behind. They needs to change bullets after a round of shooting.
Net gun: There are 3 net guns on the back. Attack zombies to make them unable to move. The number of net guns can’t be recovered.</v>
      </c>
      <c r="F316" s="64">
        <f ca="1">IFERROR(__xludf.DUMMYFUNCTION("""COMPUTED_VALUE"""),200)</f>
        <v>200</v>
      </c>
      <c r="G316" s="64">
        <f ca="1">IFERROR(__xludf.DUMMYFUNCTION("""COMPUTED_VALUE"""),300)</f>
        <v>300</v>
      </c>
      <c r="H316" s="64">
        <f ca="1">IFERROR(__xludf.DUMMYFUNCTION("""COMPUTED_VALUE"""),35)</f>
        <v>35</v>
      </c>
      <c r="I316" s="64">
        <f ca="1">IFERROR(__xludf.DUMMYFUNCTION("""COMPUTED_VALUE"""),7.5)</f>
        <v>7.5</v>
      </c>
      <c r="J316" s="64" t="str">
        <f ca="1">IFERROR(__xludf.DUMMYFUNCTION("""COMPUTED_VALUE"""),"Rotate the gun and fire bullets crazily.")</f>
        <v>Rotate the gun and fire bullets crazily.</v>
      </c>
      <c r="K316" s="64"/>
      <c r="L316" s="64"/>
      <c r="M316" s="64" t="b">
        <f ca="1">IFERROR(__xludf.DUMMYFUNCTION("""COMPUTED_VALUE"""),FALSE)</f>
        <v>0</v>
      </c>
      <c r="N316" s="64" t="b">
        <f ca="1">IFERROR(__xludf.DUMMYFUNCTION("""COMPUTED_VALUE"""),FALSE)</f>
        <v>0</v>
      </c>
      <c r="O316" s="64">
        <f ca="1">IFERROR(__xludf.DUMMYFUNCTION("""COMPUTED_VALUE"""),0)</f>
        <v>0</v>
      </c>
      <c r="P316" s="64" t="str">
        <f ca="1">IFERROR(__xludf.DUMMYFUNCTION("""COMPUTED_VALUE"""),"Legendary")</f>
        <v>Legendary</v>
      </c>
      <c r="Q316" s="64"/>
      <c r="R316" s="64" t="str">
        <f ca="1">IFERROR(__xludf.DUMMYFUNCTION("""COMPUTED_VALUE"""),"Flower")</f>
        <v>Flower</v>
      </c>
      <c r="S316" s="64" t="str">
        <f ca="1">IFERROR(__xludf.DUMMYFUNCTION("""COMPUTED_VALUE"""),"Chinese Sementium")</f>
        <v>Chinese Sementium</v>
      </c>
      <c r="T316" s="64" t="str">
        <f ca="1">IFERROR(__xludf.DUMMYFUNCTION("""COMPUTED_VALUE"""),"None")</f>
        <v>None</v>
      </c>
      <c r="U316" s="64" t="str">
        <f ca="1">IFERROR(__xludf.DUMMYFUNCTION("""COMPUTED_VALUE"""),"None")</f>
        <v>None</v>
      </c>
      <c r="V316" s="64" t="str">
        <f ca="1">IFERROR(__xludf.DUMMYFUNCTION("""COMPUTED_VALUE"""),"---")</f>
        <v>---</v>
      </c>
      <c r="W316" s="64" t="str">
        <f ca="1">IFERROR(__xludf.DUMMYFUNCTION("""COMPUTED_VALUE"""),"Ranged")</f>
        <v>Ranged</v>
      </c>
      <c r="X316" s="64" t="str">
        <f ca="1">IFERROR(__xludf.DUMMYFUNCTION("""COMPUTED_VALUE"""),"PvZ 2 Chinease")</f>
        <v>PvZ 2 Chinease</v>
      </c>
      <c r="Y316" s="65" t="str">
        <f ca="1">IFERROR(__xludf.DUMMYFUNCTION("""COMPUTED_VALUE"""),"https://static.wikia.nocookie.net/plantsvszombies/images/5/50/Heliconia_Gunner2.png/revision/latest?cb=20240312005444")</f>
        <v>https://static.wikia.nocookie.net/plantsvszombies/images/5/50/Heliconia_Gunner2.png/revision/latest?cb=20240312005444</v>
      </c>
    </row>
    <row r="317" spans="1:25" x14ac:dyDescent="0.2">
      <c r="A317" s="64">
        <f ca="1">IFERROR(__xludf.DUMMYFUNCTION("""COMPUTED_VALUE"""),113)</f>
        <v>113</v>
      </c>
      <c r="B317" s="64" t="str">
        <f ca="1">IFERROR(__xludf.DUMMYFUNCTION("""COMPUTED_VALUE"""),"Thorn Wizard")</f>
        <v>Thorn Wizard</v>
      </c>
      <c r="C317" s="64" t="str">
        <f ca="1">IFERROR(__xludf.DUMMYFUNCTION("""COMPUTED_VALUE"""),"Mago Espinho")</f>
        <v>Mago Espinho</v>
      </c>
      <c r="D317" s="64" t="str">
        <f ca="1">IFERROR(__xludf.DUMMYFUNCTION("""COMPUTED_VALUE"""),"Perfura")</f>
        <v>Perfura</v>
      </c>
      <c r="E317" s="64" t="str">
        <f ca="1">IFERROR(__xludf.DUMMYFUNCTION("""COMPUTED_VALUE"""),"Uses thorns to wrap around or stab zombies, which can poison zombies after attacking")</f>
        <v>Uses thorns to wrap around or stab zombies, which can poison zombies after attacking</v>
      </c>
      <c r="F317" s="64">
        <f ca="1">IFERROR(__xludf.DUMMYFUNCTION("""COMPUTED_VALUE"""),200)</f>
        <v>200</v>
      </c>
      <c r="G317" s="64">
        <f ca="1">IFERROR(__xludf.DUMMYFUNCTION("""COMPUTED_VALUE"""),300)</f>
        <v>300</v>
      </c>
      <c r="H317" s="64">
        <f ca="1">IFERROR(__xludf.DUMMYFUNCTION("""COMPUTED_VALUE"""),5)</f>
        <v>5</v>
      </c>
      <c r="I317" s="64">
        <f ca="1">IFERROR(__xludf.DUMMYFUNCTION("""COMPUTED_VALUE"""),7.5)</f>
        <v>7.5</v>
      </c>
      <c r="J317" s="64" t="str">
        <f ca="1">IFERROR(__xludf.DUMMYFUNCTION("""COMPUTED_VALUE"""),"When fed Plant Food, Thorn Wizard will cast a thorn array, summon 3 spiky large thorns on three tiles, on 4 spaces on tiles, penetrate zombies and cause damage. However, a bunch of thorns can trigger thorn entanglement effect, up to 2 times. The Plant Foo"&amp;"d effect will have a resting state of thorns.")</f>
        <v>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v>
      </c>
      <c r="K317" s="64"/>
      <c r="L317" s="64"/>
      <c r="M317" s="64" t="b">
        <f ca="1">IFERROR(__xludf.DUMMYFUNCTION("""COMPUTED_VALUE"""),FALSE)</f>
        <v>0</v>
      </c>
      <c r="N317" s="64" t="b">
        <f ca="1">IFERROR(__xludf.DUMMYFUNCTION("""COMPUTED_VALUE"""),FALSE)</f>
        <v>0</v>
      </c>
      <c r="O317" s="64">
        <f ca="1">IFERROR(__xludf.DUMMYFUNCTION("""COMPUTED_VALUE"""),0)</f>
        <v>0</v>
      </c>
      <c r="P317" s="64" t="str">
        <f ca="1">IFERROR(__xludf.DUMMYFUNCTION("""COMPUTED_VALUE"""),"Legendary")</f>
        <v>Legendary</v>
      </c>
      <c r="Q317" s="64"/>
      <c r="R317" s="64" t="str">
        <f ca="1">IFERROR(__xludf.DUMMYFUNCTION("""COMPUTED_VALUE"""),"Root")</f>
        <v>Root</v>
      </c>
      <c r="S317" s="64" t="str">
        <f ca="1">IFERROR(__xludf.DUMMYFUNCTION("""COMPUTED_VALUE"""),"Chinese Sementium")</f>
        <v>Chinese Sementium</v>
      </c>
      <c r="T317" s="64" t="str">
        <f ca="1">IFERROR(__xludf.DUMMYFUNCTION("""COMPUTED_VALUE"""),"None")</f>
        <v>None</v>
      </c>
      <c r="U317" s="64" t="str">
        <f ca="1">IFERROR(__xludf.DUMMYFUNCTION("""COMPUTED_VALUE"""),"None")</f>
        <v>None</v>
      </c>
      <c r="V317" s="64" t="str">
        <f ca="1">IFERROR(__xludf.DUMMYFUNCTION("""COMPUTED_VALUE"""),"---")</f>
        <v>---</v>
      </c>
      <c r="W317" s="64" t="str">
        <f ca="1">IFERROR(__xludf.DUMMYFUNCTION("""COMPUTED_VALUE"""),"Ranged")</f>
        <v>Ranged</v>
      </c>
      <c r="X317" s="64" t="str">
        <f ca="1">IFERROR(__xludf.DUMMYFUNCTION("""COMPUTED_VALUE"""),"PvZ 2 Chinease")</f>
        <v>PvZ 2 Chinease</v>
      </c>
      <c r="Y317" s="65" t="str">
        <f ca="1">IFERROR(__xludf.DUMMYFUNCTION("""COMPUTED_VALUE"""),"https://static.wikia.nocookie.net/plantsvszombies/images/d/db/Thorn_Wizard2.png/revision/latest?cb=20240423072847")</f>
        <v>https://static.wikia.nocookie.net/plantsvszombies/images/d/db/Thorn_Wizard2.png/revision/latest?cb=20240423072847</v>
      </c>
    </row>
    <row r="318" spans="1:25" x14ac:dyDescent="0.2">
      <c r="A318" s="64">
        <f ca="1">IFERROR(__xludf.DUMMYFUNCTION("""COMPUTED_VALUE"""),114)</f>
        <v>114</v>
      </c>
      <c r="B318" s="64" t="str">
        <f ca="1">IFERROR(__xludf.DUMMYFUNCTION("""COMPUTED_VALUE"""),"Cactus Mistletoe")</f>
        <v>Cactus Mistletoe</v>
      </c>
      <c r="C318" s="64" t="str">
        <f ca="1">IFERROR(__xludf.DUMMYFUNCTION("""COMPUTED_VALUE"""),"Cacto Visco")</f>
        <v>Cacto Visco</v>
      </c>
      <c r="D318" s="64" t="str">
        <f ca="1">IFERROR(__xludf.DUMMYFUNCTION("""COMPUTED_VALUE"""),"Encanta")</f>
        <v>Encanta</v>
      </c>
      <c r="E318" s="64" t="str">
        <f ca="1">IFERROR(__xludf.DUMMYFUNCTION("""COMPUTED_VALUE"""),"With the help of migratory birds, drops seeds on zombies' heads, and will bloom on their heads, hypnotizing them.")</f>
        <v>With the help of migratory birds, drops seeds on zombies' heads, and will bloom on their heads, hypnotizing them.</v>
      </c>
      <c r="F318" s="64">
        <f ca="1">IFERROR(__xludf.DUMMYFUNCTION("""COMPUTED_VALUE"""),200)</f>
        <v>200</v>
      </c>
      <c r="G318" s="64">
        <f ca="1">IFERROR(__xludf.DUMMYFUNCTION("""COMPUTED_VALUE"""),300)</f>
        <v>300</v>
      </c>
      <c r="H318" s="64">
        <f ca="1">IFERROR(__xludf.DUMMYFUNCTION("""COMPUTED_VALUE"""),30)</f>
        <v>30</v>
      </c>
      <c r="I318" s="64">
        <f ca="1">IFERROR(__xludf.DUMMYFUNCTION("""COMPUTED_VALUE"""),10)</f>
        <v>10</v>
      </c>
      <c r="J318" s="64" t="str">
        <f ca="1">IFERROR(__xludf.DUMMYFUNCTION("""COMPUTED_VALUE"""),"When fed Plant Food, Cactus Mistletoe will grow a large flower which attracts up to 5 birds, hypnotizing up to 5 zombies.")</f>
        <v>When fed Plant Food, Cactus Mistletoe will grow a large flower which attracts up to 5 birds, hypnotizing up to 5 zombies.</v>
      </c>
      <c r="K318" s="64"/>
      <c r="L318" s="64"/>
      <c r="M318" s="64" t="b">
        <f ca="1">IFERROR(__xludf.DUMMYFUNCTION("""COMPUTED_VALUE"""),FALSE)</f>
        <v>0</v>
      </c>
      <c r="N318" s="64" t="b">
        <f ca="1">IFERROR(__xludf.DUMMYFUNCTION("""COMPUTED_VALUE"""),FALSE)</f>
        <v>0</v>
      </c>
      <c r="O318" s="64">
        <f ca="1">IFERROR(__xludf.DUMMYFUNCTION("""COMPUTED_VALUE"""),0)</f>
        <v>0</v>
      </c>
      <c r="P318" s="64" t="str">
        <f ca="1">IFERROR(__xludf.DUMMYFUNCTION("""COMPUTED_VALUE"""),"Legendary")</f>
        <v>Legendary</v>
      </c>
      <c r="Q318" s="64" t="str">
        <f ca="1">IFERROR(__xludf.DUMMYFUNCTION("""COMPUTED_VALUE"""),"control")</f>
        <v>control</v>
      </c>
      <c r="R318" s="64" t="str">
        <f ca="1">IFERROR(__xludf.DUMMYFUNCTION("""COMPUTED_VALUE"""),"Cactus")</f>
        <v>Cactus</v>
      </c>
      <c r="S318" s="64" t="str">
        <f ca="1">IFERROR(__xludf.DUMMYFUNCTION("""COMPUTED_VALUE"""),"Chinese Sementium")</f>
        <v>Chinese Sementium</v>
      </c>
      <c r="T318" s="64" t="str">
        <f ca="1">IFERROR(__xludf.DUMMYFUNCTION("""COMPUTED_VALUE"""),"None")</f>
        <v>None</v>
      </c>
      <c r="U318" s="64" t="str">
        <f ca="1">IFERROR(__xludf.DUMMYFUNCTION("""COMPUTED_VALUE"""),"None")</f>
        <v>None</v>
      </c>
      <c r="V318" s="64" t="str">
        <f ca="1">IFERROR(__xludf.DUMMYFUNCTION("""COMPUTED_VALUE"""),"tristerixaphyllus")</f>
        <v>tristerixaphyllus</v>
      </c>
      <c r="W318" s="64" t="str">
        <f ca="1">IFERROR(__xludf.DUMMYFUNCTION("""COMPUTED_VALUE"""),"Ranged")</f>
        <v>Ranged</v>
      </c>
      <c r="X318" s="64" t="str">
        <f ca="1">IFERROR(__xludf.DUMMYFUNCTION("""COMPUTED_VALUE"""),"PvZ 2 Chinease")</f>
        <v>PvZ 2 Chinease</v>
      </c>
      <c r="Y318" s="65" t="str">
        <f ca="1">IFERROR(__xludf.DUMMYFUNCTION("""COMPUTED_VALUE"""),"https://static.wikia.nocookie.net/plantsvszombies/images/6/61/Cactus_Mistletoe2.png/revision/latest?cb=20240523193645")</f>
        <v>https://static.wikia.nocookie.net/plantsvszombies/images/6/61/Cactus_Mistletoe2.png/revision/latest?cb=20240523193645</v>
      </c>
    </row>
    <row r="319" spans="1:25" x14ac:dyDescent="0.2">
      <c r="A319" s="64">
        <f ca="1">IFERROR(__xludf.DUMMYFUNCTION("""COMPUTED_VALUE"""),115)</f>
        <v>115</v>
      </c>
      <c r="B319" s="64" t="str">
        <f ca="1">IFERROR(__xludf.DUMMYFUNCTION("""COMPUTED_VALUE"""),"Sawblade Sundew")</f>
        <v>Sawblade Sundew</v>
      </c>
      <c r="C319" s="64" t="str">
        <f ca="1">IFERROR(__xludf.DUMMYFUNCTION("""COMPUTED_VALUE"""),"Dróserra")</f>
        <v>Dróserra</v>
      </c>
      <c r="D319" s="64" t="str">
        <f ca="1">IFERROR(__xludf.DUMMYFUNCTION("""COMPUTED_VALUE"""),"Perfura")</f>
        <v>Perfura</v>
      </c>
      <c r="E319" s="64" t="str">
        <f ca="1">IFERROR(__xludf.DUMMYFUNCTION("""COMPUTED_VALUE"""),"Throws a sawblade that spins around itself and continuously attacks surrounding zombies.")</f>
        <v>Throws a sawblade that spins around itself and continuously attacks surrounding zombies.</v>
      </c>
      <c r="F319" s="64">
        <f ca="1">IFERROR(__xludf.DUMMYFUNCTION("""COMPUTED_VALUE"""),200)</f>
        <v>200</v>
      </c>
      <c r="G319" s="64">
        <f ca="1">IFERROR(__xludf.DUMMYFUNCTION("""COMPUTED_VALUE"""),300)</f>
        <v>300</v>
      </c>
      <c r="H319" s="64">
        <f ca="1">IFERROR(__xludf.DUMMYFUNCTION("""COMPUTED_VALUE"""),60)</f>
        <v>60</v>
      </c>
      <c r="I319" s="64">
        <f ca="1">IFERROR(__xludf.DUMMYFUNCTION("""COMPUTED_VALUE"""),7.5)</f>
        <v>7.5</v>
      </c>
      <c r="J319" s="64" t="str">
        <f ca="1">IFERROR(__xludf.DUMMYFUNCTION("""COMPUTED_VALUE"""),"The plant continuously shoots sawblades outward while rotating. The color of the sawblade's flame will change as the level rises.")</f>
        <v>The plant continuously shoots sawblades outward while rotating. The color of the sawblade's flame will change as the level rises.</v>
      </c>
      <c r="K319" s="64"/>
      <c r="L319" s="64"/>
      <c r="M319" s="64" t="b">
        <f ca="1">IFERROR(__xludf.DUMMYFUNCTION("""COMPUTED_VALUE"""),FALSE)</f>
        <v>0</v>
      </c>
      <c r="N319" s="64" t="b">
        <f ca="1">IFERROR(__xludf.DUMMYFUNCTION("""COMPUTED_VALUE"""),FALSE)</f>
        <v>0</v>
      </c>
      <c r="O319" s="64">
        <f ca="1">IFERROR(__xludf.DUMMYFUNCTION("""COMPUTED_VALUE"""),0)</f>
        <v>0</v>
      </c>
      <c r="P319" s="64" t="str">
        <f ca="1">IFERROR(__xludf.DUMMYFUNCTION("""COMPUTED_VALUE"""),"Legendary")</f>
        <v>Legendary</v>
      </c>
      <c r="Q319" s="64" t="str">
        <f ca="1">IFERROR(__xludf.DUMMYFUNCTION("""COMPUTED_VALUE"""),"chomper, area-effect")</f>
        <v>chomper, area-effect</v>
      </c>
      <c r="R319" s="64" t="str">
        <f ca="1">IFERROR(__xludf.DUMMYFUNCTION("""COMPUTED_VALUE"""),"Flower")</f>
        <v>Flower</v>
      </c>
      <c r="S319" s="64" t="str">
        <f ca="1">IFERROR(__xludf.DUMMYFUNCTION("""COMPUTED_VALUE"""),"Chinese Sementium")</f>
        <v>Chinese Sementium</v>
      </c>
      <c r="T319" s="64" t="str">
        <f ca="1">IFERROR(__xludf.DUMMYFUNCTION("""COMPUTED_VALUE"""),"None")</f>
        <v>None</v>
      </c>
      <c r="U319" s="64" t="str">
        <f ca="1">IFERROR(__xludf.DUMMYFUNCTION("""COMPUTED_VALUE"""),"None")</f>
        <v>None</v>
      </c>
      <c r="V319" s="64" t="str">
        <f ca="1">IFERROR(__xludf.DUMMYFUNCTION("""COMPUTED_VALUE"""),"chainsawburmannii")</f>
        <v>chainsawburmannii</v>
      </c>
      <c r="W319" s="64" t="str">
        <f ca="1">IFERROR(__xludf.DUMMYFUNCTION("""COMPUTED_VALUE"""),"Vanguard")</f>
        <v>Vanguard</v>
      </c>
      <c r="X319" s="64" t="str">
        <f ca="1">IFERROR(__xludf.DUMMYFUNCTION("""COMPUTED_VALUE"""),"PvZ 2 Chinease")</f>
        <v>PvZ 2 Chinease</v>
      </c>
      <c r="Y319" s="65" t="str">
        <f ca="1">IFERROR(__xludf.DUMMYFUNCTION("""COMPUTED_VALUE"""),"https://static.wikia.nocookie.net/plantsvszombies/images/3/36/Sawblade_Sundew2.png/revision/latest?cb=20240523204137")</f>
        <v>https://static.wikia.nocookie.net/plantsvszombies/images/3/36/Sawblade_Sundew2.png/revision/latest?cb=20240523204137</v>
      </c>
    </row>
    <row r="320" spans="1:25" x14ac:dyDescent="0.2">
      <c r="A320" s="64">
        <f ca="1">IFERROR(__xludf.DUMMYFUNCTION("""COMPUTED_VALUE"""),116)</f>
        <v>116</v>
      </c>
      <c r="B320" s="64" t="str">
        <f ca="1">IFERROR(__xludf.DUMMYFUNCTION("""COMPUTED_VALUE"""),"Electric Tailgrape")</f>
        <v>Electric Tailgrape</v>
      </c>
      <c r="C320" s="64" t="str">
        <f ca="1">IFERROR(__xludf.DUMMYFUNCTION("""COMPUTED_VALUE"""),"Ilang-ilang Elétrico")</f>
        <v>Ilang-ilang Elétrico</v>
      </c>
      <c r="D320" s="64" t="str">
        <f ca="1">IFERROR(__xludf.DUMMYFUNCTION("""COMPUTED_VALUE"""),"Fila")</f>
        <v>Fila</v>
      </c>
      <c r="E320" s="64" t="str">
        <f ca="1">IFERROR(__xludf.DUMMYFUNCTION("""COMPUTED_VALUE"""),"Lobs balls of lightning that continuously zap zombies")</f>
        <v>Lobs balls of lightning that continuously zap zombies</v>
      </c>
      <c r="F320" s="64">
        <f ca="1">IFERROR(__xludf.DUMMYFUNCTION("""COMPUTED_VALUE"""),125)</f>
        <v>125</v>
      </c>
      <c r="G320" s="64">
        <f ca="1">IFERROR(__xludf.DUMMYFUNCTION("""COMPUTED_VALUE"""),300)</f>
        <v>300</v>
      </c>
      <c r="H320" s="64">
        <f ca="1">IFERROR(__xludf.DUMMYFUNCTION("""COMPUTED_VALUE"""),50)</f>
        <v>50</v>
      </c>
      <c r="I320" s="64">
        <f ca="1">IFERROR(__xludf.DUMMYFUNCTION("""COMPUTED_VALUE"""),5)</f>
        <v>5</v>
      </c>
      <c r="J320" s="64" t="str">
        <f ca="1">IFERROR(__xludf.DUMMYFUNCTION("""COMPUTED_VALUE"""),"When fed Plant Food, Electric Tailgrape will throw a large ball of lightning that continuously damages zombies in a 3x3 area.")</f>
        <v>When fed Plant Food, Electric Tailgrape will throw a large ball of lightning that continuously damages zombies in a 3x3 area.</v>
      </c>
      <c r="K320" s="64"/>
      <c r="L320" s="64"/>
      <c r="M320" s="64" t="b">
        <f ca="1">IFERROR(__xludf.DUMMYFUNCTION("""COMPUTED_VALUE"""),FALSE)</f>
        <v>0</v>
      </c>
      <c r="N320" s="64" t="b">
        <f ca="1">IFERROR(__xludf.DUMMYFUNCTION("""COMPUTED_VALUE"""),FALSE)</f>
        <v>0</v>
      </c>
      <c r="O320" s="64">
        <f ca="1">IFERROR(__xludf.DUMMYFUNCTION("""COMPUTED_VALUE"""),0)</f>
        <v>0</v>
      </c>
      <c r="P320" s="64" t="str">
        <f ca="1">IFERROR(__xludf.DUMMYFUNCTION("""COMPUTED_VALUE"""),"Legendary")</f>
        <v>Legendary</v>
      </c>
      <c r="Q320" s="64" t="str">
        <f ca="1">IFERROR(__xludf.DUMMYFUNCTION("""COMPUTED_VALUE"""),"chain_attack")</f>
        <v>chain_attack</v>
      </c>
      <c r="R320" s="64" t="str">
        <f ca="1">IFERROR(__xludf.DUMMYFUNCTION("""COMPUTED_VALUE"""),"Flower")</f>
        <v>Flower</v>
      </c>
      <c r="S320" s="64" t="str">
        <f ca="1">IFERROR(__xludf.DUMMYFUNCTION("""COMPUTED_VALUE"""),"Chinese Sementium")</f>
        <v>Chinese Sementium</v>
      </c>
      <c r="T320" s="64" t="str">
        <f ca="1">IFERROR(__xludf.DUMMYFUNCTION("""COMPUTED_VALUE"""),"None")</f>
        <v>None</v>
      </c>
      <c r="U320" s="64" t="str">
        <f ca="1">IFERROR(__xludf.DUMMYFUNCTION("""COMPUTED_VALUE"""),"None")</f>
        <v>None</v>
      </c>
      <c r="V320" s="64" t="str">
        <f ca="1">IFERROR(__xludf.DUMMYFUNCTION("""COMPUTED_VALUE"""),"eagleclaw")</f>
        <v>eagleclaw</v>
      </c>
      <c r="W320" s="64" t="str">
        <f ca="1">IFERROR(__xludf.DUMMYFUNCTION("""COMPUTED_VALUE"""),"Ranged")</f>
        <v>Ranged</v>
      </c>
      <c r="X320" s="64" t="str">
        <f ca="1">IFERROR(__xludf.DUMMYFUNCTION("""COMPUTED_VALUE"""),"PvZ 2 Chinease")</f>
        <v>PvZ 2 Chinease</v>
      </c>
      <c r="Y320" s="65" t="str">
        <f ca="1">IFERROR(__xludf.DUMMYFUNCTION("""COMPUTED_VALUE"""),"https://static.wikia.nocookie.net/plantsvszombies/images/3/3d/Electric_Tailgrape2.png/revision/latest?cb=20240711013633")</f>
        <v>https://static.wikia.nocookie.net/plantsvszombies/images/3/3d/Electric_Tailgrape2.png/revision/latest?cb=20240711013633</v>
      </c>
    </row>
    <row r="321" spans="1:25" x14ac:dyDescent="0.2">
      <c r="A321" s="64">
        <f ca="1">IFERROR(__xludf.DUMMYFUNCTION("""COMPUTED_VALUE"""),117)</f>
        <v>117</v>
      </c>
      <c r="B321" s="64" t="str">
        <f ca="1">IFERROR(__xludf.DUMMYFUNCTION("""COMPUTED_VALUE"""),"Gramophone Datura")</f>
        <v>Gramophone Datura</v>
      </c>
      <c r="C321" s="64" t="str">
        <f ca="1">IFERROR(__xludf.DUMMYFUNCTION("""COMPUTED_VALUE"""),"Datura Gramophone")</f>
        <v>Datura Gramophone</v>
      </c>
      <c r="D321" s="64" t="str">
        <f ca="1">IFERROR(__xludf.DUMMYFUNCTION("""COMPUTED_VALUE"""),"Encanta")</f>
        <v>Encanta</v>
      </c>
      <c r="E321" s="64" t="str">
        <f ca="1">IFERROR(__xludf.DUMMYFUNCTION("""COMPUTED_VALUE"""),"When a projectile passes by, it generates resonance sound waves to attack surrounding zombies.")</f>
        <v>When a projectile passes by, it generates resonance sound waves to attack surrounding zombies.</v>
      </c>
      <c r="F321" s="64">
        <f ca="1">IFERROR(__xludf.DUMMYFUNCTION("""COMPUTED_VALUE"""),100)</f>
        <v>100</v>
      </c>
      <c r="G321" s="64">
        <f ca="1">IFERROR(__xludf.DUMMYFUNCTION("""COMPUTED_VALUE"""),300)</f>
        <v>300</v>
      </c>
      <c r="H321" s="64">
        <f ca="1">IFERROR(__xludf.DUMMYFUNCTION("""COMPUTED_VALUE"""),200)</f>
        <v>200</v>
      </c>
      <c r="I321" s="64">
        <f ca="1">IFERROR(__xludf.DUMMYFUNCTION("""COMPUTED_VALUE"""),5)</f>
        <v>5</v>
      </c>
      <c r="J321" s="64" t="str">
        <f ca="1">IFERROR(__xludf.DUMMYFUNCTION("""COMPUTED_VALUE"""),"Gramophone Datura releases a 5x5 wave that deals huge damage to zombies.")</f>
        <v>Gramophone Datura releases a 5x5 wave that deals huge damage to zombies.</v>
      </c>
      <c r="K321" s="64"/>
      <c r="L321" s="64"/>
      <c r="M321" s="64" t="b">
        <f ca="1">IFERROR(__xludf.DUMMYFUNCTION("""COMPUTED_VALUE"""),FALSE)</f>
        <v>0</v>
      </c>
      <c r="N321" s="64" t="b">
        <f ca="1">IFERROR(__xludf.DUMMYFUNCTION("""COMPUTED_VALUE"""),FALSE)</f>
        <v>0</v>
      </c>
      <c r="O321" s="64">
        <f ca="1">IFERROR(__xludf.DUMMYFUNCTION("""COMPUTED_VALUE"""),0)</f>
        <v>0</v>
      </c>
      <c r="P321" s="64" t="str">
        <f ca="1">IFERROR(__xludf.DUMMYFUNCTION("""COMPUTED_VALUE"""),"Legendary")</f>
        <v>Legendary</v>
      </c>
      <c r="Q321" s="64" t="str">
        <f ca="1">IFERROR(__xludf.DUMMYFUNCTION("""COMPUTED_VALUE"""),"boost")</f>
        <v>boost</v>
      </c>
      <c r="R321" s="64" t="str">
        <f ca="1">IFERROR(__xludf.DUMMYFUNCTION("""COMPUTED_VALUE"""),"Flower")</f>
        <v>Flower</v>
      </c>
      <c r="S321" s="64" t="str">
        <f ca="1">IFERROR(__xludf.DUMMYFUNCTION("""COMPUTED_VALUE"""),"Chinese Sementium")</f>
        <v>Chinese Sementium</v>
      </c>
      <c r="T321" s="64" t="str">
        <f ca="1">IFERROR(__xludf.DUMMYFUNCTION("""COMPUTED_VALUE"""),"None")</f>
        <v>None</v>
      </c>
      <c r="U321" s="64" t="str">
        <f ca="1">IFERROR(__xludf.DUMMYFUNCTION("""COMPUTED_VALUE"""),"None")</f>
        <v>None</v>
      </c>
      <c r="V321" s="64" t="str">
        <f ca="1">IFERROR(__xludf.DUMMYFUNCTION("""COMPUTED_VALUE"""),"heavendatura")</f>
        <v>heavendatura</v>
      </c>
      <c r="W321" s="64" t="str">
        <f ca="1">IFERROR(__xludf.DUMMYFUNCTION("""COMPUTED_VALUE"""),"Vanguard")</f>
        <v>Vanguard</v>
      </c>
      <c r="X321" s="64" t="str">
        <f ca="1">IFERROR(__xludf.DUMMYFUNCTION("""COMPUTED_VALUE"""),"PvZ 2 Chinease")</f>
        <v>PvZ 2 Chinease</v>
      </c>
      <c r="Y321" s="65" t="str">
        <f ca="1">IFERROR(__xludf.DUMMYFUNCTION("""COMPUTED_VALUE"""),"https://static.wikia.nocookie.net/plantsvszombies/images/a/ac/Gramophone_Datura2.png/revision/latest?cb=20240901124249")</f>
        <v>https://static.wikia.nocookie.net/plantsvszombies/images/a/ac/Gramophone_Datura2.png/revision/latest?cb=20240901124249</v>
      </c>
    </row>
    <row r="322" spans="1:25" x14ac:dyDescent="0.2">
      <c r="A322" s="64">
        <f ca="1">IFERROR(__xludf.DUMMYFUNCTION("""COMPUTED_VALUE"""),118)</f>
        <v>118</v>
      </c>
      <c r="B322" s="64" t="str">
        <f ca="1">IFERROR(__xludf.DUMMYFUNCTION("""COMPUTED_VALUE"""),"Crazy Flamevine")</f>
        <v>Crazy Flamevine</v>
      </c>
      <c r="C322" s="64" t="str">
        <f ca="1">IFERROR(__xludf.DUMMYFUNCTION("""COMPUTED_VALUE"""),"Flor-de-são-joão Doidona")</f>
        <v>Flor-de-são-joão Doidona</v>
      </c>
      <c r="D322" s="64" t="str">
        <f ca="1">IFERROR(__xludf.DUMMYFUNCTION("""COMPUTED_VALUE"""),"Surra")</f>
        <v>Surra</v>
      </c>
      <c r="E322" s="64" t="str">
        <f ca="1">IFERROR(__xludf.DUMMYFUNCTION("""COMPUTED_VALUE"""),"Crazy Flamevine can attack zombies in three lanes and can briefly stun zombies.")</f>
        <v>Crazy Flamevine can attack zombies in three lanes and can briefly stun zombies.</v>
      </c>
      <c r="F322" s="64">
        <f ca="1">IFERROR(__xludf.DUMMYFUNCTION("""COMPUTED_VALUE"""),250)</f>
        <v>250</v>
      </c>
      <c r="G322" s="64">
        <f ca="1">IFERROR(__xludf.DUMMYFUNCTION("""COMPUTED_VALUE"""),300)</f>
        <v>300</v>
      </c>
      <c r="H322" s="64">
        <f ca="1">IFERROR(__xludf.DUMMYFUNCTION("""COMPUTED_VALUE"""),15)</f>
        <v>15</v>
      </c>
      <c r="I322" s="64">
        <f ca="1">IFERROR(__xludf.DUMMYFUNCTION("""COMPUTED_VALUE"""),8)</f>
        <v>8</v>
      </c>
      <c r="J322" s="64" t="str">
        <f ca="1">IFERROR(__xludf.DUMMYFUNCTION("""COMPUTED_VALUE"""),"When given Plant Food, Crazy Flamevine will lob firecrackers at every zombie on screen, which will stun them and deal heavy damage in a single tile.")</f>
        <v>When given Plant Food, Crazy Flamevine will lob firecrackers at every zombie on screen, which will stun them and deal heavy damage in a single tile.</v>
      </c>
      <c r="K322" s="64"/>
      <c r="L322" s="64"/>
      <c r="M322" s="64" t="b">
        <f ca="1">IFERROR(__xludf.DUMMYFUNCTION("""COMPUTED_VALUE"""),FALSE)</f>
        <v>0</v>
      </c>
      <c r="N322" s="64" t="b">
        <f ca="1">IFERROR(__xludf.DUMMYFUNCTION("""COMPUTED_VALUE"""),FALSE)</f>
        <v>0</v>
      </c>
      <c r="O322" s="64">
        <f ca="1">IFERROR(__xludf.DUMMYFUNCTION("""COMPUTED_VALUE"""),0)</f>
        <v>0</v>
      </c>
      <c r="P322" s="64" t="str">
        <f ca="1">IFERROR(__xludf.DUMMYFUNCTION("""COMPUTED_VALUE"""),"Legendary")</f>
        <v>Legendary</v>
      </c>
      <c r="Q322" s="64" t="str">
        <f ca="1">IFERROR(__xludf.DUMMYFUNCTION("""COMPUTED_VALUE"""),"area-effect, stun")</f>
        <v>area-effect, stun</v>
      </c>
      <c r="R322" s="64" t="str">
        <f ca="1">IFERROR(__xludf.DUMMYFUNCTION("""COMPUTED_VALUE"""),"Flower")</f>
        <v>Flower</v>
      </c>
      <c r="S322" s="64" t="str">
        <f ca="1">IFERROR(__xludf.DUMMYFUNCTION("""COMPUTED_VALUE"""),"Chinese Sementium")</f>
        <v>Chinese Sementium</v>
      </c>
      <c r="T322" s="64" t="str">
        <f ca="1">IFERROR(__xludf.DUMMYFUNCTION("""COMPUTED_VALUE"""),"None")</f>
        <v>None</v>
      </c>
      <c r="U322" s="64" t="str">
        <f ca="1">IFERROR(__xludf.DUMMYFUNCTION("""COMPUTED_VALUE"""),"None")</f>
        <v>None</v>
      </c>
      <c r="V322" s="64" t="str">
        <f ca="1">IFERROR(__xludf.DUMMYFUNCTION("""COMPUTED_VALUE"""),"firecrackerflower")</f>
        <v>firecrackerflower</v>
      </c>
      <c r="W322" s="64" t="str">
        <f ca="1">IFERROR(__xludf.DUMMYFUNCTION("""COMPUTED_VALUE"""),"Ranged")</f>
        <v>Ranged</v>
      </c>
      <c r="X322" s="64" t="str">
        <f ca="1">IFERROR(__xludf.DUMMYFUNCTION("""COMPUTED_VALUE"""),"PvZ 2 Chinease")</f>
        <v>PvZ 2 Chinease</v>
      </c>
      <c r="Y322" s="65" t="str">
        <f ca="1">IFERROR(__xludf.DUMMYFUNCTION("""COMPUTED_VALUE"""),"https://static.wikia.nocookie.net/plantsvszombies/images/3/33/Crazy_Firecracker_Flower2.png/revision/latest?cb=20240901124501")</f>
        <v>https://static.wikia.nocookie.net/plantsvszombies/images/3/33/Crazy_Firecracker_Flower2.png/revision/latest?cb=20240901124501</v>
      </c>
    </row>
    <row r="323" spans="1:25" x14ac:dyDescent="0.2">
      <c r="A323" s="64">
        <f ca="1">IFERROR(__xludf.DUMMYFUNCTION("""COMPUTED_VALUE"""),119)</f>
        <v>119</v>
      </c>
      <c r="B323" s="64" t="str">
        <f ca="1">IFERROR(__xludf.DUMMYFUNCTION("""COMPUTED_VALUE"""),"Lunisolar Honeysuckle")</f>
        <v>Lunisolar Honeysuckle</v>
      </c>
      <c r="C323" s="64" t="str">
        <f ca="1">IFERROR(__xludf.DUMMYFUNCTION("""COMPUTED_VALUE"""),"Lonicera Lunisolar")</f>
        <v>Lonicera Lunisolar</v>
      </c>
      <c r="D323" s="64" t="str">
        <f ca="1">IFERROR(__xludf.DUMMYFUNCTION("""COMPUTED_VALUE"""),"Aquecida")</f>
        <v>Aquecida</v>
      </c>
      <c r="E323" s="64" t="str">
        <f ca="1">IFERROR(__xludf.DUMMYFUNCTION("""COMPUTED_VALUE"""),"The golden flower summons the sun to deal fire damage, and the silver flower summons the moon to deal ice damage.")</f>
        <v>The golden flower summons the sun to deal fire damage, and the silver flower summons the moon to deal ice damage.</v>
      </c>
      <c r="F323" s="64">
        <f ca="1">IFERROR(__xludf.DUMMYFUNCTION("""COMPUTED_VALUE"""),200)</f>
        <v>200</v>
      </c>
      <c r="G323" s="64">
        <f ca="1">IFERROR(__xludf.DUMMYFUNCTION("""COMPUTED_VALUE"""),300)</f>
        <v>300</v>
      </c>
      <c r="H323" s="64">
        <f ca="1">IFERROR(__xludf.DUMMYFUNCTION("""COMPUTED_VALUE"""),50)</f>
        <v>50</v>
      </c>
      <c r="I323" s="64">
        <f ca="1">IFERROR(__xludf.DUMMYFUNCTION("""COMPUTED_VALUE"""),8)</f>
        <v>8</v>
      </c>
      <c r="J323" s="64" t="str">
        <f ca="1">IFERROR(__xludf.DUMMYFUNCTION("""COMPUTED_VALUE"""),"When given Plant Food, both flowers of Lunisolar Honeysuckle will summon their respective projectiles which will travel a short distance ahead before combining and exploding, dealing extreme damage in a 5x5 area.")</f>
        <v>When given Plant Food, both flowers of Lunisolar Honeysuckle will summon their respective projectiles which will travel a short distance ahead before combining and exploding, dealing extreme damage in a 5x5 area.</v>
      </c>
      <c r="K323" s="64"/>
      <c r="L323" s="64"/>
      <c r="M323" s="64" t="b">
        <f ca="1">IFERROR(__xludf.DUMMYFUNCTION("""COMPUTED_VALUE"""),FALSE)</f>
        <v>0</v>
      </c>
      <c r="N323" s="64" t="b">
        <f ca="1">IFERROR(__xludf.DUMMYFUNCTION("""COMPUTED_VALUE"""),FALSE)</f>
        <v>0</v>
      </c>
      <c r="O323" s="64">
        <f ca="1">IFERROR(__xludf.DUMMYFUNCTION("""COMPUTED_VALUE"""),0)</f>
        <v>0</v>
      </c>
      <c r="P323" s="64" t="str">
        <f ca="1">IFERROR(__xludf.DUMMYFUNCTION("""COMPUTED_VALUE"""),"Legendary")</f>
        <v>Legendary</v>
      </c>
      <c r="Q323" s="64"/>
      <c r="R323" s="64" t="str">
        <f ca="1">IFERROR(__xludf.DUMMYFUNCTION("""COMPUTED_VALUE"""),"Flower")</f>
        <v>Flower</v>
      </c>
      <c r="S323" s="64" t="str">
        <f ca="1">IFERROR(__xludf.DUMMYFUNCTION("""COMPUTED_VALUE"""),"Chinese Sementium")</f>
        <v>Chinese Sementium</v>
      </c>
      <c r="T323" s="64" t="str">
        <f ca="1">IFERROR(__xludf.DUMMYFUNCTION("""COMPUTED_VALUE"""),"None")</f>
        <v>None</v>
      </c>
      <c r="U323" s="64" t="str">
        <f ca="1">IFERROR(__xludf.DUMMYFUNCTION("""COMPUTED_VALUE"""),"None")</f>
        <v>None</v>
      </c>
      <c r="V323" s="64" t="str">
        <f ca="1">IFERROR(__xludf.DUMMYFUNCTION("""COMPUTED_VALUE"""),"twinshoneysuckle")</f>
        <v>twinshoneysuckle</v>
      </c>
      <c r="W323" s="64" t="str">
        <f ca="1">IFERROR(__xludf.DUMMYFUNCTION("""COMPUTED_VALUE"""),"Ranged")</f>
        <v>Ranged</v>
      </c>
      <c r="X323" s="64" t="str">
        <f ca="1">IFERROR(__xludf.DUMMYFUNCTION("""COMPUTED_VALUE"""),"PvZ 2 Chinease")</f>
        <v>PvZ 2 Chinease</v>
      </c>
      <c r="Y323" s="65" t="str">
        <f ca="1">IFERROR(__xludf.DUMMYFUNCTION("""COMPUTED_VALUE"""),"https://static.wikia.nocookie.net/plantsvszombies/images/2/2d/Lunisolar_Honeysuckle2.png/revision/latest?cb=20241028203916")</f>
        <v>https://static.wikia.nocookie.net/plantsvszombies/images/2/2d/Lunisolar_Honeysuckle2.png/revision/latest?cb=20241028203916</v>
      </c>
    </row>
    <row r="324" spans="1:25" x14ac:dyDescent="0.2">
      <c r="A324" s="64">
        <f ca="1">IFERROR(__xludf.DUMMYFUNCTION("""COMPUTED_VALUE"""),120)</f>
        <v>120</v>
      </c>
      <c r="B324" s="64" t="str">
        <f ca="1">IFERROR(__xludf.DUMMYFUNCTION("""COMPUTED_VALUE"""),"Frost Rambutan")</f>
        <v>Frost Rambutan</v>
      </c>
      <c r="C324" s="64" t="str">
        <f ca="1">IFERROR(__xludf.DUMMYFUNCTION("""COMPUTED_VALUE"""),"Rambutão Gelado")</f>
        <v>Rambutão Gelado</v>
      </c>
      <c r="D324" s="64" t="str">
        <f ca="1">IFERROR(__xludf.DUMMYFUNCTION("""COMPUTED_VALUE"""),"Resfriada")</f>
        <v>Resfriada</v>
      </c>
      <c r="E324" s="64" t="str">
        <f ca="1">IFERROR(__xludf.DUMMYFUNCTION("""COMPUTED_VALUE"""),"Spits out snowballs to attack, with a chance of freezing the attacked zombie and directly breaking the ice through impact.")</f>
        <v>Spits out snowballs to attack, with a chance of freezing the attacked zombie and directly breaking the ice through impact.</v>
      </c>
      <c r="F324" s="64">
        <f ca="1">IFERROR(__xludf.DUMMYFUNCTION("""COMPUTED_VALUE"""),250)</f>
        <v>250</v>
      </c>
      <c r="G324" s="64">
        <f ca="1">IFERROR(__xludf.DUMMYFUNCTION("""COMPUTED_VALUE"""),300)</f>
        <v>300</v>
      </c>
      <c r="H324" s="64">
        <f ca="1">IFERROR(__xludf.DUMMYFUNCTION("""COMPUTED_VALUE"""),100)</f>
        <v>100</v>
      </c>
      <c r="I324" s="64">
        <f ca="1">IFERROR(__xludf.DUMMYFUNCTION("""COMPUTED_VALUE"""),10)</f>
        <v>10</v>
      </c>
      <c r="J324" s="64" t="str">
        <f ca="1">IFERROR(__xludf.DUMMYFUNCTION("""COMPUTED_VALUE"""),"When given Plant Food, Frost Rambutan will inflate into a round spiky ball, and he will roll down and change directions by 45 degrees every time a zombie is hit.")</f>
        <v>When given Plant Food, Frost Rambutan will inflate into a round spiky ball, and he will roll down and change directions by 45 degrees every time a zombie is hit.</v>
      </c>
      <c r="K324" s="64"/>
      <c r="L324" s="64" t="str">
        <f ca="1">IFERROR(__xludf.DUMMYFUNCTION("""COMPUTED_VALUE"""),"Special - The snowballs have a 5% chance of freezing a zombie in their 3x3 area in an ice block.")</f>
        <v>Special - The snowballs have a 5% chance of freezing a zombie in their 3x3 area in an ice block.</v>
      </c>
      <c r="M324" s="64" t="b">
        <f ca="1">IFERROR(__xludf.DUMMYFUNCTION("""COMPUTED_VALUE"""),FALSE)</f>
        <v>0</v>
      </c>
      <c r="N324" s="64" t="b">
        <f ca="1">IFERROR(__xludf.DUMMYFUNCTION("""COMPUTED_VALUE"""),FALSE)</f>
        <v>0</v>
      </c>
      <c r="O324" s="64">
        <f ca="1">IFERROR(__xludf.DUMMYFUNCTION("""COMPUTED_VALUE"""),0)</f>
        <v>0</v>
      </c>
      <c r="P324" s="64" t="str">
        <f ca="1">IFERROR(__xludf.DUMMYFUNCTION("""COMPUTED_VALUE"""),"Legendary")</f>
        <v>Legendary</v>
      </c>
      <c r="Q324" s="64" t="str">
        <f ca="1">IFERROR(__xludf.DUMMYFUNCTION("""COMPUTED_VALUE"""),"area-effect, chilling, freezing")</f>
        <v>area-effect, chilling, freezing</v>
      </c>
      <c r="R324" s="64" t="str">
        <f ca="1">IFERROR(__xludf.DUMMYFUNCTION("""COMPUTED_VALUE"""),"Fruit")</f>
        <v>Fruit</v>
      </c>
      <c r="S324" s="64" t="str">
        <f ca="1">IFERROR(__xludf.DUMMYFUNCTION("""COMPUTED_VALUE"""),"Chinese Sementium")</f>
        <v>Chinese Sementium</v>
      </c>
      <c r="T324" s="64" t="str">
        <f ca="1">IFERROR(__xludf.DUMMYFUNCTION("""COMPUTED_VALUE"""),"None")</f>
        <v>None</v>
      </c>
      <c r="U324" s="64" t="str">
        <f ca="1">IFERROR(__xludf.DUMMYFUNCTION("""COMPUTED_VALUE"""),"50")</f>
        <v>50</v>
      </c>
      <c r="V324" s="64" t="str">
        <f ca="1">IFERROR(__xludf.DUMMYFUNCTION("""COMPUTED_VALUE"""),"---")</f>
        <v>---</v>
      </c>
      <c r="W324" s="64" t="str">
        <f ca="1">IFERROR(__xludf.DUMMYFUNCTION("""COMPUTED_VALUE"""),"Vanguard")</f>
        <v>Vanguard</v>
      </c>
      <c r="X324" s="64" t="str">
        <f ca="1">IFERROR(__xludf.DUMMYFUNCTION("""COMPUTED_VALUE"""),"PvZ 2 Chinease")</f>
        <v>PvZ 2 Chinease</v>
      </c>
      <c r="Y324" s="65" t="str">
        <f ca="1">IFERROR(__xludf.DUMMYFUNCTION("""COMPUTED_VALUE"""),"https://static.wikia.nocookie.net/plantsvszombies/images/9/99/Frost_Rambutan2.png/revision/latest?cb=20241113015534")</f>
        <v>https://static.wikia.nocookie.net/plantsvszombies/images/9/99/Frost_Rambutan2.png/revision/latest?cb=20241113015534</v>
      </c>
    </row>
  </sheetData>
  <hyperlinks>
    <hyperlink ref="Y2" r:id="rId1" display="https://static.wikia.nocookie.net/plantsvszombies/images/c/ca/Peashooter2.png/revision/latest?cb=20221126065143" xr:uid="{00000000-0004-0000-0500-000000000000}"/>
    <hyperlink ref="Y3" r:id="rId2" display="https://static.wikia.nocookie.net/plantsvszombies/images/d/de/Sunflower2.png/revision/latest?cb=20221126064943" xr:uid="{00000000-0004-0000-0500-000001000000}"/>
    <hyperlink ref="Y4" r:id="rId3" display="https://static.wikia.nocookie.net/plantsvszombies/images/1/17/Wall-nut2.png/revision/latest?cb=20221126065345" xr:uid="{00000000-0004-0000-0500-000002000000}"/>
    <hyperlink ref="Y5" r:id="rId4" display="https://static.wikia.nocookie.net/plantsvszombies/images/a/a0/Potato_Mine2.png/revision/latest?cb=20221126065516" xr:uid="{00000000-0004-0000-0500-000003000000}"/>
    <hyperlink ref="Y6" r:id="rId5" display="https://static.wikia.nocookie.net/plantsvszombies/images/7/76/Cabbage-pult2.png/revision/latest?cb=20221206062917" xr:uid="{00000000-0004-0000-0500-000004000000}"/>
    <hyperlink ref="Y7" r:id="rId6" display="https://static.wikia.nocookie.net/plantsvszombies/images/5/57/Bloomerang2.png/revision/latest?cb=20221126070057" xr:uid="{00000000-0004-0000-0500-000005000000}"/>
    <hyperlink ref="Y8" r:id="rId7" display="https://static.wikia.nocookie.net/plantsvszombies/images/d/d0/Iceberg_Lettuce2.png/revision/latest?cb=20221126070154" xr:uid="{00000000-0004-0000-0500-000006000000}"/>
    <hyperlink ref="Y9" r:id="rId8" display="https://static.wikia.nocookie.net/plantsvszombies/images/1/1d/Grave_Buster2.png/revision/latest?cb=20221126070428" xr:uid="{00000000-0004-0000-0500-000007000000}"/>
    <hyperlink ref="Y10" r:id="rId9" display="https://static.wikia.nocookie.net/plantsvszombies/images/7/75/Bonk_Choy2.png/revision/latest?cb=20221126070903" xr:uid="{00000000-0004-0000-0500-000008000000}"/>
    <hyperlink ref="Y11" r:id="rId10" display="https://static.wikia.nocookie.net/plantsvszombies/images/9/9f/Repeater2.png/revision/latest?cb=20221126071245" xr:uid="{00000000-0004-0000-0500-000009000000}"/>
    <hyperlink ref="Y12" r:id="rId11" display="https://static.wikia.nocookie.net/plantsvszombies/images/1/1e/Twin_Sunflower2.png/revision/latest?cb=20221126071524" xr:uid="{00000000-0004-0000-0500-00000A000000}"/>
    <hyperlink ref="Y13" r:id="rId12" display="https://static.wikia.nocookie.net/plantsvszombies/images/b/b4/Kernel-pult2.png/revision/latest?cb=20221126072120" xr:uid="{00000000-0004-0000-0500-00000B000000}"/>
    <hyperlink ref="Y14" r:id="rId13" display="https://static.wikia.nocookie.net/plantsvszombies/images/f/f8/Snapdragon2.png/revision/latest?cb=20221126072250" xr:uid="{00000000-0004-0000-0500-00000C000000}"/>
    <hyperlink ref="Y15" r:id="rId14" display="https://static.wikia.nocookie.net/plantsvszombies/images/0/07/Spikeweed2.png/revision/latest?cb=20221206063052" xr:uid="{00000000-0004-0000-0500-00000D000000}"/>
    <hyperlink ref="Y16" r:id="rId15" display="https://static.wikia.nocookie.net/plantsvszombies/images/5/5a/Spring_Bean2.png/revision/latest?cb=20221206063417" xr:uid="{00000000-0004-0000-0500-00000E000000}"/>
    <hyperlink ref="Y17" r:id="rId16" display="https://static.wikia.nocookie.net/plantsvszombies/images/2/21/Coconut_Cannon2.png/revision/latest?cb=20221206063716" xr:uid="{00000000-0004-0000-0500-00000F000000}"/>
    <hyperlink ref="Y18" r:id="rId17" display="https://static.wikia.nocookie.net/plantsvszombies/images/e/ed/Threepeater2.png/revision/latest?cb=20221206063521" xr:uid="{00000000-0004-0000-0500-000010000000}"/>
    <hyperlink ref="Y19" r:id="rId18" display="https://static.wikia.nocookie.net/plantsvszombies/images/0/00/Spikerock2.png/revision/latest?cb=20221206063144" xr:uid="{00000000-0004-0000-0500-000011000000}"/>
    <hyperlink ref="Y20" r:id="rId19" display="https://static.wikia.nocookie.net/plantsvszombies/images/9/93/Cherry_Bomb2.png/revision/latest?cb=20221206063300" xr:uid="{00000000-0004-0000-0500-000012000000}"/>
    <hyperlink ref="Y21" r:id="rId20" display="https://static.wikia.nocookie.net/plantsvszombies/images/4/46/Split_Pea2.png/revision/latest?cb=20160831004326" xr:uid="{00000000-0004-0000-0500-000013000000}"/>
    <hyperlink ref="Y22" r:id="rId21" display="https://static.wikia.nocookie.net/plantsvszombies/images/a/a1/Chili_Bean2.png/revision/latest?cb=20160827004139" xr:uid="{00000000-0004-0000-0500-000014000000}"/>
    <hyperlink ref="Y23" r:id="rId22" display="https://static.wikia.nocookie.net/plantsvszombies/images/1/13/Pea_Pod2.png/revision/latest?cb=20141116195736" xr:uid="{00000000-0004-0000-0500-000015000000}"/>
    <hyperlink ref="Y24" r:id="rId23" display="https://static.wikia.nocookie.net/plantsvszombies/images/a/a1/Lightning_Reed2.png/revision/latest?cb=20181230181008" xr:uid="{00000000-0004-0000-0500-000016000000}"/>
    <hyperlink ref="Y25" r:id="rId24" display="https://static.wikia.nocookie.net/plantsvszombies/images/f/fe/Melon-pult2.png/revision/latest?cb=20141116195851" xr:uid="{00000000-0004-0000-0500-000017000000}"/>
    <hyperlink ref="Y26" r:id="rId25" display="https://static.wikia.nocookie.net/plantsvszombies/images/a/ab/Tall-nut2.png/revision/latest?cb=20141116195809" xr:uid="{00000000-0004-0000-0500-000018000000}"/>
    <hyperlink ref="Y27" r:id="rId26" display="https://static.wikia.nocookie.net/plantsvszombies/images/2/24/Winter_Melon2.png/revision/latest?cb=20141116195910" xr:uid="{00000000-0004-0000-0500-000019000000}"/>
    <hyperlink ref="Y28" r:id="rId27" display="https://static.wikia.nocookie.net/plantsvszombies/images/2/2b/Hot_Potato2.png/revision/latest?cb=20150110113541" xr:uid="{00000000-0004-0000-0500-00001A000000}"/>
    <hyperlink ref="Y29" r:id="rId28" display="https://static.wikia.nocookie.net/plantsvszombies/images/8/84/Pepper-pult2.png/revision/latest?cb=20150110133328" xr:uid="{00000000-0004-0000-0500-00001B000000}"/>
    <hyperlink ref="Y30" r:id="rId29" display="https://static.wikia.nocookie.net/plantsvszombies/images/d/db/Chard_Guard2.png/revision/latest?cb=20230320034950" xr:uid="{00000000-0004-0000-0500-00001C000000}"/>
    <hyperlink ref="Y31" r:id="rId30" display="https://static.wikia.nocookie.net/plantsvszombies/images/a/ae/Stunion2.png/revision/latest?cb=20230219060147" xr:uid="{00000000-0004-0000-0500-00001D000000}"/>
    <hyperlink ref="Y32" r:id="rId31" display="https://static.wikia.nocookie.net/plantsvszombies/images/7/79/Rotobaga2.png/revision/latest?cb=20220223145124" xr:uid="{00000000-0004-0000-0500-00001E000000}"/>
    <hyperlink ref="Y33" r:id="rId32" display="https://static.wikia.nocookie.net/plantsvszombies/images/6/66/Red_Stinger2.png/revision/latest?cb=20160914232205" xr:uid="{00000000-0004-0000-0500-00001F000000}"/>
    <hyperlink ref="Y34" r:id="rId33" display="https://static.wikia.nocookie.net/plantsvszombies/images/7/7f/A.K.E.E.2.png/revision/latest?cb=20160902061921" xr:uid="{00000000-0004-0000-0500-000020000000}"/>
    <hyperlink ref="Y35" r:id="rId34" display="https://static.wikia.nocookie.net/plantsvszombies/images/5/52/Endurian2.png/revision/latest?cb=20160831005313" xr:uid="{00000000-0004-0000-0500-000021000000}"/>
    <hyperlink ref="Y36" r:id="rId35" display="https://static.wikia.nocookie.net/plantsvszombies/images/c/cd/Stallia2.png/revision/latest?cb=20160502044126" xr:uid="{00000000-0004-0000-0500-000022000000}"/>
    <hyperlink ref="Y37" r:id="rId36" display="https://static.wikia.nocookie.net/plantsvszombies/images/4/4e/Gold_Leaf2.png/revision/latest?cb=20150626074822" xr:uid="{00000000-0004-0000-0500-000023000000}"/>
    <hyperlink ref="Y38" r:id="rId37" display="https://static.wikia.nocookie.net/plantsvszombies/images/9/9b/Laser_Bean2.png/revision/latest?cb=20141117200616" xr:uid="{00000000-0004-0000-0500-000024000000}"/>
    <hyperlink ref="Y39" r:id="rId38" display="https://static.wikia.nocookie.net/plantsvszombies/images/b/b2/Blover2.png/revision/latest?cb=20141116200213" xr:uid="{00000000-0004-0000-0500-000025000000}"/>
    <hyperlink ref="Y40" r:id="rId39" display="https://static.wikia.nocookie.net/plantsvszombies/images/7/74/Citron2.png/revision/latest?cb=20181230184815" xr:uid="{00000000-0004-0000-0500-000026000000}"/>
    <hyperlink ref="Y41" r:id="rId40" display="https://static.wikia.nocookie.net/plantsvszombies/images/5/5d/E.M.Peach2.png/revision/latest?cb=20150519210717" xr:uid="{00000000-0004-0000-0500-000027000000}"/>
    <hyperlink ref="Y42" r:id="rId41" display="https://static.wikia.nocookie.net/plantsvszombies/images/2/27/Infi-nut2.png/revision/latest?cb=20141117200749" xr:uid="{00000000-0004-0000-0500-000028000000}"/>
    <hyperlink ref="Y43" r:id="rId42" display="https://static.wikia.nocookie.net/plantsvszombies/images/2/27/Magnifying_Grass2.png/revision/latest?cb=20181230190842" xr:uid="{00000000-0004-0000-0500-000029000000}"/>
    <hyperlink ref="Y44" r:id="rId43" display="https://static.wikia.nocookie.net/plantsvszombies/images/f/fa/Tile_Turnip2.png/revision/latest?cb=20181230192657" xr:uid="{00000000-0004-0000-0500-00002A000000}"/>
    <hyperlink ref="Y45" r:id="rId44" display="https://static.wikia.nocookie.net/plantsvszombies/images/e/e0/Sun-shroom2.png/revision/latest?cb=20190221195748" xr:uid="{00000000-0004-0000-0500-00002B000000}"/>
    <hyperlink ref="Y46" r:id="rId45" display="https://static.wikia.nocookie.net/plantsvszombies/images/2/22/Puff-shroom2.png/revision/latest?cb=20190901141819" xr:uid="{00000000-0004-0000-0500-00002C000000}"/>
    <hyperlink ref="Y47" r:id="rId46" display="https://static.wikia.nocookie.net/plantsvszombies/images/2/23/Fume-shroom2.png/revision/latest?cb=20230517000416" xr:uid="{00000000-0004-0000-0500-00002D000000}"/>
    <hyperlink ref="Y48" r:id="rId47" display="https://static.wikia.nocookie.net/plantsvszombies/images/4/4d/Sun_Bean2.png/revision/latest?cb=20190221195735" xr:uid="{00000000-0004-0000-0500-00002E000000}"/>
    <hyperlink ref="Y49" r:id="rId48" display="https://static.wikia.nocookie.net/plantsvszombies/images/4/49/Magnet-shroom2.png/revision/latest?cb=20160905222641" xr:uid="{00000000-0004-0000-0500-00002F000000}"/>
    <hyperlink ref="Y50" r:id="rId49" display="https://static.wikia.nocookie.net/plantsvszombies/images/c/ce/Phat_Beet2.png/revision/latest?cb=20150822202144" xr:uid="{00000000-0004-0000-0500-000030000000}"/>
    <hyperlink ref="Y51" r:id="rId50" display="https://static.wikia.nocookie.net/plantsvszombies/images/a/a5/Celery_Stalker2.png/revision/latest?cb=20150822202352" xr:uid="{00000000-0004-0000-0500-000031000000}"/>
    <hyperlink ref="Y52" r:id="rId51" display="https://static.wikia.nocookie.net/plantsvszombies/images/4/4c/Thyme_Warp2.png/revision/latest?cb=20150822202401" xr:uid="{00000000-0004-0000-0500-000032000000}"/>
    <hyperlink ref="Y53" r:id="rId52" display="https://static.wikia.nocookie.net/plantsvszombies/images/2/21/Garlic2.png/revision/latest?cb=20190624020121" xr:uid="{00000000-0004-0000-0500-000033000000}"/>
    <hyperlink ref="Y54" r:id="rId53" display="https://static.wikia.nocookie.net/plantsvszombies/images/d/d6/Spore-shroom2.png/revision/latest?cb=20180304014203" xr:uid="{00000000-0004-0000-0500-000034000000}"/>
    <hyperlink ref="Y55" r:id="rId54" display="https://static.wikia.nocookie.net/plantsvszombies/images/9/93/Intensive_Carrot2.png/revision/latest?cb=20150919111412" xr:uid="{00000000-0004-0000-0500-000035000000}"/>
    <hyperlink ref="Y56" r:id="rId55" display="https://static.wikia.nocookie.net/plantsvszombies/images/b/b6/Primal_Peashooter2.png/revision/latest?cb=20160831064137" xr:uid="{00000000-0004-0000-0500-000036000000}"/>
    <hyperlink ref="Y57" r:id="rId56" display="https://static.wikia.nocookie.net/plantsvszombies/images/c/cf/Primal_Wall-nut2.png/revision/latest?cb=20160831064408" xr:uid="{00000000-0004-0000-0500-000037000000}"/>
    <hyperlink ref="Y58" r:id="rId57" display="https://static.wikia.nocookie.net/plantsvszombies/images/f/fa/Perfume-shroom2.png/revision/latest?cb=20160831225342" xr:uid="{00000000-0004-0000-0500-000038000000}"/>
    <hyperlink ref="Y59" r:id="rId58" display="https://static.wikia.nocookie.net/plantsvszombies/images/2/24/Primal_Sunflower2.png/revision/latest?cb=20160905220547" xr:uid="{00000000-0004-0000-0500-000039000000}"/>
    <hyperlink ref="Y60" r:id="rId59" display="https://static.wikia.nocookie.net/plantsvszombies/images/e/ec/Primal_Potato_Mine2.png/revision/latest?cb=20151215015144" xr:uid="{00000000-0004-0000-0500-00003A000000}"/>
    <hyperlink ref="Y61" r:id="rId60" display="https://static.wikia.nocookie.net/plantsvszombies/images/e/ec/Primal_Potato_Mine2.png/revision/latest?cb=20151215015144" xr:uid="{00000000-0004-0000-0500-00003B000000}"/>
    <hyperlink ref="Y62" r:id="rId61" display="https://static.wikia.nocookie.net/plantsvszombies/images/1/1a/Tangle_Kelp2.png/revision/latest?cb=20160830234932" xr:uid="{00000000-0004-0000-0500-00003C000000}"/>
    <hyperlink ref="Y63" r:id="rId62" display="https://static.wikia.nocookie.net/plantsvszombies/images/e/ee/Bowling_Bulb2.png/revision/latest?cb=20200527202318" xr:uid="{00000000-0004-0000-0500-00003D000000}"/>
    <hyperlink ref="Y64" r:id="rId63" display="https://static.wikia.nocookie.net/plantsvszombies/images/9/96/Guacodile2.png/revision/latest?cb=20160818024252" xr:uid="{00000000-0004-0000-0500-00003E000000}"/>
    <hyperlink ref="Y65" r:id="rId64" display="https://static.wikia.nocookie.net/plantsvszombies/images/b/b7/Banana_Launcher2.png/revision/latest?cb=20160905221035" xr:uid="{00000000-0004-0000-0500-00003F000000}"/>
    <hyperlink ref="Y66" r:id="rId65" display="https://static.wikia.nocookie.net/plantsvszombies/images/5/55/Moonflower2.png/revision/latest?cb=20160904210356" xr:uid="{00000000-0004-0000-0500-000040000000}"/>
    <hyperlink ref="Y67" r:id="rId66" display="https://static.wikia.nocookie.net/plantsvszombies/images/b/b6/Nightshade2.png/revision/latest?cb=20160818032951" xr:uid="{00000000-0004-0000-0500-000041000000}"/>
    <hyperlink ref="Y68" r:id="rId67" display="https://static.wikia.nocookie.net/plantsvszombies/images/8/87/Shadow-shroom2.png/revision/latest?cb=20160904210029" xr:uid="{00000000-0004-0000-0500-000042000000}"/>
    <hyperlink ref="Y69" r:id="rId68" display="https://static.wikia.nocookie.net/plantsvszombies/images/e/e2/Dusk_Lobber2.png/revision/latest?cb=20160218232807" xr:uid="{00000000-0004-0000-0500-000043000000}"/>
    <hyperlink ref="Y70" r:id="rId69" display="https://static.wikia.nocookie.net/plantsvszombies/images/8/80/Grimrose2.png/revision/latest?cb=20160218232806" xr:uid="{00000000-0004-0000-0500-000044000000}"/>
    <hyperlink ref="Y71" r:id="rId70" display="https://static.wikia.nocookie.net/plantsvszombies/images/a/af/Snow_Pea2.png/revision/latest?cb=20221126072509" xr:uid="{00000000-0004-0000-0500-000045000000}"/>
    <hyperlink ref="Y72" r:id="rId71" display="https://static.wikia.nocookie.net/plantsvszombies/images/d/db/Power_Lily2.png/revision/latest?cb=20221126072700" xr:uid="{00000000-0004-0000-0500-000046000000}"/>
    <hyperlink ref="Y73" r:id="rId72" display="https://static.wikia.nocookie.net/plantsvszombies/images/f/f2/Imitater2.png/revision/latest?cb=20190624020001" xr:uid="{00000000-0004-0000-0500-000047000000}"/>
    <hyperlink ref="Y74" r:id="rId73" display="https://static.wikia.nocookie.net/plantsvszombies/images/1/16/Chomper2.png/revision/latest?cb=20160831224928" xr:uid="{00000000-0004-0000-0500-000048000000}"/>
    <hyperlink ref="Y75" r:id="rId74" display="https://static.wikia.nocookie.net/plantsvszombies/images/e/ea/Toadstool2.png/revision/latest?cb=20180303174913" xr:uid="{00000000-0004-0000-0500-000049000000}"/>
    <hyperlink ref="Y76" r:id="rId75" display="https://static.wikia.nocookie.net/plantsvszombies/images/3/30/Strawburst2.png/revision/latest?cb=20161026010927" xr:uid="{00000000-0004-0000-0500-00004A000000}"/>
    <hyperlink ref="Y77" r:id="rId76" display="https://static.wikia.nocookie.net/plantsvszombies/images/a/aa/Cactus2.png/revision/latest?cb=20150823165854" xr:uid="{00000000-0004-0000-0500-00004B000000}"/>
    <hyperlink ref="Y78" r:id="rId77" display="https://static.wikia.nocookie.net/plantsvszombies/images/6/6d/Electric_Blueberry2.png/revision/latest?cb=20150916015743" xr:uid="{00000000-0004-0000-0500-00004C000000}"/>
    <hyperlink ref="Y79" r:id="rId78" display="https://static.wikia.nocookie.net/plantsvszombies/images/9/9a/Jack_O%27_Lantern2.png/revision/latest?cb=20160904215028" xr:uid="{00000000-0004-0000-0500-00004D000000}"/>
    <hyperlink ref="Y80" r:id="rId79" display="https://static.wikia.nocookie.net/plantsvszombies/images/3/38/Grapeshot2.png/revision/latest?cb=20151018042852" xr:uid="{00000000-0004-0000-0500-00004E000000}"/>
    <hyperlink ref="Y81" r:id="rId80" display="https://static.wikia.nocookie.net/plantsvszombies/images/a/a0/Cold_Snapdragon2.png/revision/latest?cb=20151117120932" xr:uid="{00000000-0004-0000-0500-00004F000000}"/>
    <hyperlink ref="Y82" r:id="rId81" display="https://static.wikia.nocookie.net/plantsvszombies/images/2/2c/Escape_Root2.png/revision/latest?cb=20160827035308" xr:uid="{00000000-0004-0000-0500-000050000000}"/>
    <hyperlink ref="Y83" r:id="rId82" display="https://static.wikia.nocookie.net/plantsvszombies/images/3/35/Gold_Bloom2.png/revision/latest?cb=20160818002941" xr:uid="{00000000-0004-0000-0500-000051000000}"/>
    <hyperlink ref="Y84" r:id="rId83" display="https://static.wikia.nocookie.net/plantsvszombies/images/1/15/Wasabi_Whip2.png/revision/latest?cb=20160818065339" xr:uid="{00000000-0004-0000-0500-000052000000}"/>
    <hyperlink ref="Y85" r:id="rId84" display="https://static.wikia.nocookie.net/plantsvszombies/images/3/39/Apple_Mortar2.png/revision/latest?cb=20160924095708" xr:uid="{00000000-0004-0000-0500-000053000000}"/>
    <hyperlink ref="Y86" r:id="rId85" display="https://static.wikia.nocookie.net/plantsvszombies/images/b/bd/Witch_Hazel2.png/revision/latest?cb=20221130092709" xr:uid="{00000000-0004-0000-0500-000054000000}"/>
    <hyperlink ref="Y87" r:id="rId86" display="https://static.wikia.nocookie.net/plantsvszombies/images/5/5f/Parsnip2.png/revision/latest?cb=20220316060035" xr:uid="{00000000-0004-0000-0500-000055000000}"/>
    <hyperlink ref="Y88" r:id="rId87" display="https://static.wikia.nocookie.net/plantsvszombies/images/3/36/Missile_Toe2.png/revision/latest?cb=20161129080652" xr:uid="{00000000-0004-0000-0500-000056000000}"/>
    <hyperlink ref="Y89" r:id="rId88" display="https://static.wikia.nocookie.net/plantsvszombies/images/2/26/Caulipower2.png/revision/latest?cb=20170320194223" xr:uid="{00000000-0004-0000-0500-000057000000}"/>
    <hyperlink ref="Y90" r:id="rId89" display="https://static.wikia.nocookie.net/plantsvszombies/images/f/f0/Electric_Peashooter2.png/revision/latest?cb=20170624163241" xr:uid="{00000000-0004-0000-0500-000058000000}"/>
    <hyperlink ref="Y91" r:id="rId90" display="https://static.wikia.nocookie.net/plantsvszombies/images/0/0d/Holly_Barrier2.png/revision/latest?cb=20171203021856" xr:uid="{00000000-0004-0000-0500-000059000000}"/>
    <hyperlink ref="Y92" r:id="rId91" display="https://static.wikia.nocookie.net/plantsvszombies/images/5/52/Squash2.png/revision/latest?cb=20150823165146" xr:uid="{00000000-0004-0000-0500-00005A000000}"/>
    <hyperlink ref="Y93" r:id="rId92" display="https://static.wikia.nocookie.net/plantsvszombies/images/7/7d/Jalapeno2.png/revision/latest?cb=20150823165147" xr:uid="{00000000-0004-0000-0500-00005B000000}"/>
    <hyperlink ref="Y94" r:id="rId93" display="https://static.wikia.nocookie.net/plantsvszombies/images/c/c3/Hypno-shroom2.png/revision/latest?cb=20210302125341" xr:uid="{00000000-0004-0000-0500-00005C000000}"/>
    <hyperlink ref="Y95" r:id="rId94" display="https://static.wikia.nocookie.net/plantsvszombies/images/0/0f/Pea-nut2.png/revision/latest?cb=20150822204951" xr:uid="{00000000-0004-0000-0500-00005D000000}"/>
    <hyperlink ref="Y96" r:id="rId95" display="https://static.wikia.nocookie.net/plantsvszombies/images/f/fb/Homing_Thistle2.png/revision/latest?cb=20150823165313" xr:uid="{00000000-0004-0000-0500-00005E000000}"/>
    <hyperlink ref="Y97" r:id="rId96" display="https://static.wikia.nocookie.net/plantsvszombies/images/b/b2/Ghost_Pepper2.png/revision/latest?cb=20160916010938" xr:uid="{00000000-0004-0000-0500-00005F000000}"/>
    <hyperlink ref="Y98" r:id="rId97" display="https://static.wikia.nocookie.net/plantsvszombies/images/1/1a/Sweet_Potato2.png/revision/latest?cb=20150823165444" xr:uid="{00000000-0004-0000-0500-000060000000}"/>
    <hyperlink ref="Y99" r:id="rId98" display="https://static.wikia.nocookie.net/plantsvszombies/images/4/41/Sap-fling2.png/revision/latest?cb=20150822211124" xr:uid="{00000000-0004-0000-0500-000061000000}"/>
    <hyperlink ref="Y100" r:id="rId99" display="https://static.wikia.nocookie.net/plantsvszombies/images/5/5e/Hurrikale2.png/revision/latest?cb=20150823155951" xr:uid="{00000000-0004-0000-0500-000062000000}"/>
    <hyperlink ref="Y101" r:id="rId100" display="https://static.wikia.nocookie.net/plantsvszombies/images/f/f4/Fire_Peashooter2.png/revision/latest?cb=20150823165447" xr:uid="{00000000-0004-0000-0500-000063000000}"/>
    <hyperlink ref="Y102" r:id="rId101" display="https://static.wikia.nocookie.net/plantsvszombies/images/6/6a/Lava_Guava2.png/revision/latest?cb=20150823155820" xr:uid="{00000000-0004-0000-0500-000064000000}"/>
    <hyperlink ref="Y103" r:id="rId102" display="https://static.wikia.nocookie.net/plantsvszombies/images/7/7c/Shrinking_Violet2.png/revision/latest?cb=20160107011055" xr:uid="{00000000-0004-0000-0500-000065000000}"/>
    <hyperlink ref="Y104" r:id="rId103" display="https://static.wikia.nocookie.net/plantsvszombies/images/a/a9/Electric_Currant2.png/revision/latest?cb=20160827013119" xr:uid="{00000000-0004-0000-0500-000066000000}"/>
    <hyperlink ref="Y105" r:id="rId104" display="https://static.wikia.nocookie.net/plantsvszombies/images/e/ef/Kiwibeast2.png/revision/latest?cb=20210121015624" xr:uid="{00000000-0004-0000-0500-000067000000}"/>
    <hyperlink ref="Y106" r:id="rId105" display="https://static.wikia.nocookie.net/plantsvszombies/images/7/74/Torchwood2.png/revision/latest?cb=20190624015915" xr:uid="{00000000-0004-0000-0500-000068000000}"/>
    <hyperlink ref="Y107" r:id="rId106" display="https://static.wikia.nocookie.net/plantsvszombies/images/f/fb/Starfruit2.png/revision/latest?cb=20190624020055" xr:uid="{00000000-0004-0000-0500-000069000000}"/>
    <hyperlink ref="Y108" r:id="rId107" display="https://static.wikia.nocookie.net/plantsvszombies/images/3/3c/Dandelion2.png/revision/latest?cb=20150822203823" xr:uid="{00000000-0004-0000-0500-00006A000000}"/>
    <hyperlink ref="Y109" r:id="rId108" display="https://static.wikia.nocookie.net/plantsvszombies/images/9/95/Blooming_Heart2.png/revision/latest?cb=20160204153716" xr:uid="{00000000-0004-0000-0500-00006B000000}"/>
    <hyperlink ref="Y110" r:id="rId109" display="https://static.wikia.nocookie.net/plantsvszombies/images/4/42/Explode-O-Nut2.png/revision/latest?cb=20160617175238" xr:uid="{00000000-0004-0000-0500-00006C000000}"/>
    <hyperlink ref="Y111" r:id="rId110" display="https://static.wikia.nocookie.net/plantsvszombies/images/3/30/Aloe2.png/revision/latest?cb=20190926013700" xr:uid="{00000000-0004-0000-0500-00006D000000}"/>
    <hyperlink ref="Y112" r:id="rId111" display="https://static.wikia.nocookie.net/plantsvszombies/images/d/de/Bombegranate2.png/revision/latest?cb=20160827010844" xr:uid="{00000000-0004-0000-0500-00006E000000}"/>
    <hyperlink ref="Y113" r:id="rId112" display="https://static.wikia.nocookie.net/plantsvszombies/images/3/3d/Hot_Date2.png/revision/latest?cb=20211113162949" xr:uid="{00000000-0004-0000-0500-00006F000000}"/>
    <hyperlink ref="Y114" r:id="rId113" display="https://static.wikia.nocookie.net/plantsvszombies/images/8/80/Solar_Tomato2.png/revision/latest?cb=20170902222214" xr:uid="{00000000-0004-0000-0500-000070000000}"/>
    <hyperlink ref="Y115" r:id="rId114" display="https://static.wikia.nocookie.net/plantsvszombies/images/3/3b/Shadow_Peashooter2.png/revision/latest?cb=20200420033850" xr:uid="{00000000-0004-0000-0500-000071000000}"/>
    <hyperlink ref="Y116" r:id="rId115" display="https://static.wikia.nocookie.net/plantsvszombies/images/3/3f/Goo_Peashooter2.png/revision/latest?cb=20200803162920" xr:uid="{00000000-0004-0000-0500-000072000000}"/>
    <hyperlink ref="Y117" r:id="rId116" display="https://static.wikia.nocookie.net/plantsvszombies/images/c/c1/Sling_Pea2.png/revision/latest?cb=20181106223507" xr:uid="{00000000-0004-0000-0500-000073000000}"/>
    <hyperlink ref="Y118" r:id="rId117" display="https://static.wikia.nocookie.net/plantsvszombies/images/8/80/Snap_Pea2.png/revision/latest?cb=20190723032540" xr:uid="{00000000-0004-0000-0500-000074000000}"/>
    <hyperlink ref="Y119" r:id="rId118" display="https://static.wikia.nocookie.net/plantsvszombies/images/b/b7/Zoybean_Pod2.png/revision/latest?cb=20190308033556" xr:uid="{00000000-0004-0000-0500-000075000000}"/>
    <hyperlink ref="Y120" r:id="rId119" display="https://static.wikia.nocookie.net/plantsvszombies/images/7/72/Dazey_Chain2.png/revision/latest?cb=20190308033609" xr:uid="{00000000-0004-0000-0500-000076000000}"/>
    <hyperlink ref="Y121" r:id="rId120" display="https://static.wikia.nocookie.net/plantsvszombies/images/6/69/Electrici-tea2.png/revision/latest?cb=20200601162225" xr:uid="{00000000-0004-0000-0500-000077000000}"/>
    <hyperlink ref="Y122" r:id="rId121" display="https://static.wikia.nocookie.net/plantsvszombies/images/d/df/Blastberry_Vine2.png/revision/latest?cb=20190723185536" xr:uid="{00000000-0004-0000-0500-000078000000}"/>
    <hyperlink ref="Y123" r:id="rId122" display="https://static.wikia.nocookie.net/plantsvszombies/images/3/30/Pokra2.png/revision/latest?cb=20200601021310" xr:uid="{00000000-0004-0000-0500-000079000000}"/>
    <hyperlink ref="Y124" r:id="rId123" display="https://static.wikia.nocookie.net/plantsvszombies/images/6/6e/Imp_Pear2.png/revision/latest?cb=20190723185522" xr:uid="{00000000-0004-0000-0500-00007A000000}"/>
    <hyperlink ref="Y125" r:id="rId124" display="https://static.wikia.nocookie.net/plantsvszombies/images/7/73/Pumpkin2.png/revision/latest?cb=20191004193552" xr:uid="{00000000-0004-0000-0500-00007B000000}"/>
    <hyperlink ref="Y126" r:id="rId125" display="https://static.wikia.nocookie.net/plantsvszombies/images/0/07/Pyre_Vine2.png/revision/latest?cb=20190903223137" xr:uid="{00000000-0004-0000-0500-00007C000000}"/>
    <hyperlink ref="Y127" r:id="rId126" display="https://static.wikia.nocookie.net/plantsvszombies/images/8/8d/Ice_Bloom2.png/revision/latest?cb=20221123060152" xr:uid="{00000000-0004-0000-0500-00007D000000}"/>
    <hyperlink ref="Y128" r:id="rId127" display="https://static.wikia.nocookie.net/plantsvszombies/images/8/8d/Dartichoke2.png/revision/latest?cb=20200209080432" xr:uid="{00000000-0004-0000-0500-00007E000000}"/>
    <hyperlink ref="Y129" r:id="rId128" display="https://static.wikia.nocookie.net/plantsvszombies/images/d/df/Ultomato2.png/revision/latest?cb=20230313110032" xr:uid="{00000000-0004-0000-0500-00007F000000}"/>
    <hyperlink ref="Y130" r:id="rId129" display="https://static.wikia.nocookie.net/plantsvszombies/images/9/9a/Gumnut2.png/revision/latest?cb=20200318003556" xr:uid="{00000000-0004-0000-0500-000080000000}"/>
    <hyperlink ref="Y131" r:id="rId130" display="https://static.wikia.nocookie.net/plantsvszombies/images/9/97/Shine_Vine2.png/revision/latest?cb=20200625090602" xr:uid="{00000000-0004-0000-0500-000081000000}"/>
    <hyperlink ref="Y132" r:id="rId131" display="https://static.wikia.nocookie.net/plantsvszombies/images/4/48/Tumbleweed2.png/revision/latest?cb=20200512045045" xr:uid="{00000000-0004-0000-0500-000082000000}"/>
    <hyperlink ref="Y133" r:id="rId132" display="https://static.wikia.nocookie.net/plantsvszombies/images/5/54/Olive_Pit2.png/revision/latest?cb=20240907001418" xr:uid="{00000000-0004-0000-0500-000083000000}"/>
    <hyperlink ref="Y134" r:id="rId133" display="https://static.wikia.nocookie.net/plantsvszombies/images/f/f8/Puffball2.png/revision/latest?cb=20200627015218" xr:uid="{00000000-0004-0000-0500-000084000000}"/>
    <hyperlink ref="Y135" r:id="rId134" display="https://static.wikia.nocookie.net/plantsvszombies/images/5/54/Explode-o-Vine2.png/revision/latest?cb=20200803222649" xr:uid="{00000000-0004-0000-0500-000085000000}"/>
    <hyperlink ref="Y136" r:id="rId135" display="https://static.wikia.nocookie.net/plantsvszombies/images/e/e6/Murkadamia_Nut2.png/revision/latest?cb=20220219133005" xr:uid="{00000000-0004-0000-0500-000086000000}"/>
    <hyperlink ref="Y137" r:id="rId136" display="https://static.wikia.nocookie.net/plantsvszombies/images/0/02/Turkey-pult2.png/revision/latest?cb=20200915155128" xr:uid="{00000000-0004-0000-0500-000087000000}"/>
    <hyperlink ref="Y138" r:id="rId137" display="https://static.wikia.nocookie.net/plantsvszombies/images/2/2d/Headbutter_Lettuce2.png/revision/latest?cb=20201030054125" xr:uid="{00000000-0004-0000-0500-000088000000}"/>
    <hyperlink ref="Y139" r:id="rId138" display="https://static.wikia.nocookie.net/plantsvszombies/images/3/36/Boingsetta2.png/revision/latest?cb=20201030053226" xr:uid="{00000000-0004-0000-0500-000089000000}"/>
    <hyperlink ref="Y140" r:id="rId139" display="https://static.wikia.nocookie.net/plantsvszombies/images/f/f5/Stickybomb_Rice2.png/revision/latest?cb=20220219132542" xr:uid="{00000000-0004-0000-0500-00008A000000}"/>
    <hyperlink ref="Y141" r:id="rId140" display="https://static.wikia.nocookie.net/plantsvszombies/images/b/bd/Hocus_Crocus2.png/revision/latest?cb=20210205223344" xr:uid="{00000000-0004-0000-0500-00008B000000}"/>
    <hyperlink ref="Y142" r:id="rId141" display="https://static.wikia.nocookie.net/plantsvszombies/images/8/8a/Gloom_Vine2.png/revision/latest?cb=20210205225758" xr:uid="{00000000-0004-0000-0500-00008C000000}"/>
    <hyperlink ref="Y143" r:id="rId142" display="https://static.wikia.nocookie.net/plantsvszombies/images/5/52/Draftodil2.png/revision/latest?cb=20210203212740" xr:uid="{00000000-0004-0000-0500-00008D000000}"/>
    <hyperlink ref="Y144" r:id="rId143" display="https://static.wikia.nocookie.net/plantsvszombies/images/2/23/Boom_Balloon_Flower2.png/revision/latest?cb=20220221101417" xr:uid="{00000000-0004-0000-0500-00008E000000}"/>
    <hyperlink ref="Y145" r:id="rId144" display="https://static.wikia.nocookie.net/plantsvszombies/images/a/a1/Pea_Vine2.png/revision/latest?cb=20210916020642" xr:uid="{00000000-0004-0000-0500-00008F000000}"/>
    <hyperlink ref="Y146" r:id="rId145" display="https://static.wikia.nocookie.net/plantsvszombies/images/7/7e/Inferno2.png/revision/latest?cb=20210916020513" xr:uid="{00000000-0004-0000-0500-000090000000}"/>
    <hyperlink ref="Y147" r:id="rId146" display="https://static.wikia.nocookie.net/plantsvszombies/images/9/96/Solar_Sage2.png/revision/latest?cb=20210621230624" xr:uid="{00000000-0004-0000-0500-000091000000}"/>
    <hyperlink ref="Y148" r:id="rId147" display="https://static.wikia.nocookie.net/plantsvszombies/images/9/95/Power_Vine2.png/revision/latest?cb=20210803233254" xr:uid="{00000000-0004-0000-0500-000092000000}"/>
    <hyperlink ref="Y149" r:id="rId148" display="https://static.wikia.nocookie.net/plantsvszombies/images/a/af/Noctarine2.png/revision/latest?cb=20210717084648" xr:uid="{00000000-0004-0000-0500-000093000000}"/>
    <hyperlink ref="Y150" r:id="rId149" display="https://static.wikia.nocookie.net/plantsvszombies/images/4/49/Heath_Seeker2.png/revision/latest?cb=20210916015504" xr:uid="{00000000-0004-0000-0500-000094000000}"/>
    <hyperlink ref="Y151" r:id="rId150" display="https://static.wikia.nocookie.net/plantsvszombies/images/d/d9/Iceweed2.png/revision/latest?cb=20211115203447" xr:uid="{00000000-0004-0000-0500-000095000000}"/>
    <hyperlink ref="Y152" r:id="rId151" display="https://static.wikia.nocookie.net/plantsvszombies/images/6/6f/Tiger_Grass2.png/revision/latest?cb=20211212021638" xr:uid="{00000000-0004-0000-0500-000096000000}"/>
    <hyperlink ref="Y153" r:id="rId152" display="https://static.wikia.nocookie.net/plantsvszombies/images/1/1b/Teleportato_Mine2.png/revision/latest?cb=20211212021625" xr:uid="{00000000-0004-0000-0500-000097000000}"/>
    <hyperlink ref="Y154" r:id="rId153" display="https://static.wikia.nocookie.net/plantsvszombies/images/2/2a/Blockoli2.png/revision/latest?cb=20220206062157" xr:uid="{00000000-0004-0000-0500-000098000000}"/>
    <hyperlink ref="Y155" r:id="rId154" display="https://static.wikia.nocookie.net/plantsvszombies/images/6/64/Buttercup2.png/revision/latest?cb=20220205081753" xr:uid="{00000000-0004-0000-0500-000099000000}"/>
    <hyperlink ref="Y156" r:id="rId155" display="https://static.wikia.nocookie.net/plantsvszombies/images/f/fb/Bramble_Bush2.png/revision/latest?cb=20220404224349" xr:uid="{00000000-0004-0000-0500-00009A000000}"/>
    <hyperlink ref="Y157" r:id="rId156" display="https://static.wikia.nocookie.net/plantsvszombies/images/f/f6/Rhubarbarian2.png/revision/latest?cb=20220512063614" xr:uid="{00000000-0004-0000-0500-00009B000000}"/>
    <hyperlink ref="Y158" r:id="rId157" display="https://static.wikia.nocookie.net/plantsvszombies/images/1/17/Mega_Gatling_Pea2.png/revision/latest?cb=20220907040154" xr:uid="{00000000-0004-0000-0500-00009C000000}"/>
    <hyperlink ref="Y159" r:id="rId158" display="https://static.wikia.nocookie.net/plantsvszombies/images/1/1a/Levitater2.png/revision/latest?cb=20220614050517" xr:uid="{00000000-0004-0000-0500-00009D000000}"/>
    <hyperlink ref="Y160" r:id="rId159" display="https://static.wikia.nocookie.net/plantsvszombies/images/d/d4/Tomb_Tangler2.png/revision/latest?cb=20220825052601" xr:uid="{00000000-0004-0000-0500-00009E000000}"/>
    <hyperlink ref="Y161" r:id="rId160" display="https://static.wikia.nocookie.net/plantsvszombies/images/2/28/Vamporcini2.png/revision/latest?cb=20220916012705" xr:uid="{00000000-0004-0000-0500-00009F000000}"/>
    <hyperlink ref="Y162" r:id="rId161" display="https://static.wikia.nocookie.net/plantsvszombies/images/1/15/Meteor_Flower2.png/revision/latest?cb=20220916012728" xr:uid="{00000000-0004-0000-0500-0000A0000000}"/>
    <hyperlink ref="Y163" r:id="rId162" display="https://static.wikia.nocookie.net/plantsvszombies/images/d/da/Chilly_Pepper2.png/revision/latest?cb=20221105224813" xr:uid="{00000000-0004-0000-0500-0000A1000000}"/>
    <hyperlink ref="Y164" r:id="rId163" display="https://static.wikia.nocookie.net/plantsvszombies/images/4/4f/Bun_Chi2.png/revision/latest?cb=20230201230126" xr:uid="{00000000-0004-0000-0500-0000A2000000}"/>
    <hyperlink ref="Y165" r:id="rId164" display="https://static.wikia.nocookie.net/plantsvszombies/images/0/02/Bzzz_Button2.png/revision/latest?cb=20230201230140" xr:uid="{00000000-0004-0000-0500-0000A3000000}"/>
    <hyperlink ref="Y166" r:id="rId165" display="https://static.wikia.nocookie.net/plantsvszombies/images/a/a8/BoomBerry2.png/revision/latest?cb=20230201230214" xr:uid="{00000000-0004-0000-0500-0000A4000000}"/>
    <hyperlink ref="Y167" r:id="rId166" display="https://static.wikia.nocookie.net/plantsvszombies/images/8/8f/SeaFlora2.png/revision/latest?cb=20230314003534" xr:uid="{00000000-0004-0000-0500-0000A5000000}"/>
    <hyperlink ref="Y168" r:id="rId167" display="https://static.wikia.nocookie.net/plantsvszombies/images/3/38/MayBee2.png/revision/latest?cb=20230314003517" xr:uid="{00000000-0004-0000-0500-0000A6000000}"/>
    <hyperlink ref="Y169" r:id="rId168" display="https://static.wikia.nocookie.net/plantsvszombies/images/1/13/Scaredy-shroom2.png/revision/latest?cb=20230415232226" xr:uid="{00000000-0004-0000-0500-0000A7000000}"/>
    <hyperlink ref="Y170" r:id="rId169" display="https://static.wikia.nocookie.net/plantsvszombies/images/0/0e/Bamboo_Spartan2.png/revision/latest?cb=20230419024648" xr:uid="{00000000-0004-0000-0500-0000A8000000}"/>
    <hyperlink ref="Y171" r:id="rId170" display="https://static.wikia.nocookie.net/plantsvszombies/images/9/9e/Sundew_Tangler2.png/revision/latest?cb=20230607011345" xr:uid="{00000000-0004-0000-0500-0000A9000000}"/>
    <hyperlink ref="Y172" r:id="rId171" display="https://static.wikia.nocookie.net/plantsvszombies/images/e/e9/Bean_Sprout2.png/revision/latest?cb=20230826230227" xr:uid="{00000000-0004-0000-0500-0000AA000000}"/>
    <hyperlink ref="Y173" r:id="rId172" display="https://static.wikia.nocookie.net/plantsvszombies/images/7/7f/Nightcap2.png/revision/latest?cb=20230314003500" xr:uid="{00000000-0004-0000-0500-0000AB000000}"/>
    <hyperlink ref="Y174" r:id="rId173" display="https://static.wikia.nocookie.net/plantsvszombies/images/f/fc/Cran_Jelly2.png/revision/latest?cb=20230826073858" xr:uid="{00000000-0004-0000-0500-0000AC000000}"/>
    <hyperlink ref="Y175" r:id="rId174" display="https://static.wikia.nocookie.net/plantsvszombies/images/6/60/Bud%27uh_Boom2.png/revision/latest?cb=20231129165733" xr:uid="{00000000-0004-0000-0500-0000AD000000}"/>
    <hyperlink ref="Y176" r:id="rId175" display="https://static.wikia.nocookie.net/plantsvszombies/images/7/77/Ice-shroom2.png/revision/latest?cb=20231123040702" xr:uid="{00000000-0004-0000-0500-0000AE000000}"/>
    <hyperlink ref="Y177" r:id="rId176" display="https://static.wikia.nocookie.net/plantsvszombies/images/a/a9/Dragon_Bruit2.png/revision/latest?cb=20231218173201" xr:uid="{00000000-0004-0000-0500-0000AF000000}"/>
    <hyperlink ref="Y178" r:id="rId177" display="https://static.wikia.nocookie.net/plantsvszombies/images/4/49/Electric_Peel2.png/revision/latest?cb=20240321225940" xr:uid="{00000000-0004-0000-0500-0000B0000000}"/>
    <hyperlink ref="Y179" r:id="rId178" display="https://static.wikia.nocookie.net/plantsvszombies/images/d/dd/Sea-shroom2.png/revision/latest?cb=20240506102548" xr:uid="{00000000-0004-0000-0500-0000B1000000}"/>
    <hyperlink ref="Y180" r:id="rId179" display="https://static.wikia.nocookie.net/plantsvszombies/images/5/55/Guard-shroom2.png/revision/latest?cb=20240227153646" xr:uid="{00000000-0004-0000-0500-0000B2000000}"/>
    <hyperlink ref="Y181" r:id="rId180" display="https://static.wikia.nocookie.net/plantsvszombies/images/4/47/Aqua_Vine2.png/revision/latest?cb=20240316065724" xr:uid="{00000000-0004-0000-0500-0000B3000000}"/>
    <hyperlink ref="Y182" r:id="rId181" display="https://static.wikia.nocookie.net/plantsvszombies/images/d/de/Mangofier2.png/revision/latest?cb=20240316153318" xr:uid="{00000000-0004-0000-0500-0000B4000000}"/>
    <hyperlink ref="Y183" r:id="rId182" display="https://static.wikia.nocookie.net/plantsvszombies/images/2/21/Blast_Spinner2.png/revision/latest?cb=20240825171337" xr:uid="{00000000-0004-0000-0500-0000B5000000}"/>
    <hyperlink ref="Y184" r:id="rId183" display="https://static.wikia.nocookie.net/plantsvszombies/images/9/92/Doom-shroom2.png/revision/latest?cb=20241103020717" xr:uid="{00000000-0004-0000-0500-0000B6000000}"/>
    <hyperlink ref="Y185" r:id="rId184" display="https://static.wikia.nocookie.net/plantsvszombies/images/7/79/Blaze_Leaf2.png/revision/latest?cb=20241024015246" xr:uid="{00000000-0004-0000-0500-0000B7000000}"/>
    <hyperlink ref="Y186" r:id="rId185" display="https://static.wikia.nocookie.net/plantsvszombies/images/8/84/Frost_Bonnet2.png/revision/latest?cb=20241024014551" xr:uid="{00000000-0004-0000-0500-0000B8000000}"/>
    <hyperlink ref="Y187" r:id="rId186" display="https://static.wikia.nocookie.net/plantsvszombies/images/f/f0/Znake_Lily2.png/revision/latest?cb=20241011125933" xr:uid="{00000000-0004-0000-0500-0000B9000000}"/>
    <hyperlink ref="Y188" r:id="rId187" display="https://static.wikia.nocookie.net/plantsvszombies/images/a/a4/Sweetheart_Snare2.png/revision/latest/scale-to-width-down/70?cb=20250121231122" xr:uid="{00000000-0004-0000-0500-0000BA000000}"/>
    <hyperlink ref="Y189" r:id="rId188" display="https://static.wikia.nocookie.net/plantsvszombies/images/d/d0/Hammeruit2.png/revision/latest/scale-to-width-down/70?cb=20250108203307" xr:uid="{00000000-0004-0000-0500-0000BB000000}"/>
    <hyperlink ref="Y190" r:id="rId189" display="https://static.wikia.nocookie.net/plantsvszombies/images/1/1d/Umbrella_Leaf3.png/revision/latest/scale-to-width-down/48?cb=20240620034801" xr:uid="{00000000-0004-0000-0500-0000BC000000}"/>
    <hyperlink ref="Y191" r:id="rId190" display="https://static.wikia.nocookie.net/plantsvszombies/images/7/73/Marigold2.png/revision/latest?cb=20151230034649" xr:uid="{00000000-0004-0000-0500-0000BD000000}"/>
    <hyperlink ref="Y192" r:id="rId191" display="https://static.wikia.nocookie.net/plantsvszombies/images/1/18/Gold_Magnet1.png/revision/latest?cb=20170630021728" xr:uid="{00000000-0004-0000-0500-0000BE000000}"/>
    <hyperlink ref="Y193" r:id="rId192" display="https://static.wikia.nocookie.net/plantsvszombies/images/6/6a/AspearagusA.png/revision/latest?cb=20130502101541" xr:uid="{00000000-0004-0000-0500-0000BF000000}"/>
    <hyperlink ref="Y194" r:id="rId193" display="https://static.wikia.nocookie.net/plantsvszombies/images/0/02/PopcornA.png/revision/latest?cb=20130809003435" xr:uid="{00000000-0004-0000-0500-0000C0000000}"/>
    <hyperlink ref="Y195" r:id="rId194" display="https://static.wikia.nocookie.net/plantsvszombies/images/3/32/BeetA.png/revision/latest?cb=20130510211801" xr:uid="{00000000-0004-0000-0500-0000C1000000}"/>
    <hyperlink ref="Y196" r:id="rId195" display="https://static.wikia.nocookie.net/plantsvszombies/images/3/35/Magnet_PlantA.png/revision/latest?cb=20130521212819" xr:uid="{00000000-0004-0000-0500-0000C2000000}"/>
    <hyperlink ref="Y197" r:id="rId196" display="https://static.wikia.nocookie.net/plantsvszombies/images/3/32/Flaming_PeaA.png/revision/latest?cb=20160403150613" xr:uid="{00000000-0004-0000-0500-0000C3000000}"/>
    <hyperlink ref="Y198" r:id="rId197" display="https://static.wikia.nocookie.net/plantsvszombies/images/1/12/ShamrockA.png/revision/latest?cb=20130521213245" xr:uid="{00000000-0004-0000-0500-0000C4000000}"/>
    <hyperlink ref="Y199" r:id="rId198" display="https://static.wikia.nocookie.net/plantsvszombies/images/6/66/Bamboo_ShootA.png/revision/latest?cb=20130524081642" xr:uid="{00000000-0004-0000-0500-0000C5000000}"/>
    <hyperlink ref="Y200" r:id="rId199" display="https://static.wikia.nocookie.net/plantsvszombies/images/1/1e/Sweet_PeaA.png/revision/latest?cb=20130718044149" xr:uid="{00000000-0004-0000-0500-0000C6000000}"/>
    <hyperlink ref="Y201" r:id="rId200" display="https://static.wikia.nocookie.net/plantsvszombies/images/0/04/BeeshooterA.png/revision/latest?cb=20130521192003" xr:uid="{00000000-0004-0000-0500-0000C7000000}"/>
    <hyperlink ref="Y202" r:id="rId201" display="https://static.wikia.nocookie.net/plantsvszombies/images/8/84/Bamboo_Shoots3.png/revision/latest/scale-to-width-down/48?cb=20220505145717" xr:uid="{00000000-0004-0000-0500-0000C8000000}"/>
    <hyperlink ref="Y203" r:id="rId202" display="https://static.wikia.nocookie.net/plantsvszombies/images/9/9d/Lychee3.png/revision/latest/scale-to-width-down/48?cb=20241119002150" xr:uid="{00000000-0004-0000-0500-0000C9000000}"/>
    <hyperlink ref="Y204" r:id="rId203" display="https://static.wikia.nocookie.net/plantsvszombies/images/7/7e/Silversword3.png/revision/latest/scale-to-width-down/48?cb=20220406055054" xr:uid="{00000000-0004-0000-0500-0000CA000000}"/>
    <hyperlink ref="Y205" r:id="rId204" display="https://static.wikia.nocookie.net/plantsvszombies/images/7/72/Resistant_Radish2.png/revision/latest?cb=20150805183002" xr:uid="{00000000-0004-0000-0500-0000CB000000}"/>
    <hyperlink ref="Y206" r:id="rId205" display="https://static.wikia.nocookie.net/plantsvszombies/images/6/6e/Fire_Gourd2.png/revision/latest?cb=20230918030431" xr:uid="{00000000-0004-0000-0500-0000CC000000}"/>
    <hyperlink ref="Y207" r:id="rId206" display="https://static.wikia.nocookie.net/plantsvszombies/images/5/54/Heavenly_Peach2.png/revision/latest?cb=20230402051504" xr:uid="{00000000-0004-0000-0500-0000CD000000}"/>
    <hyperlink ref="Y208" r:id="rId207" display="https://static.wikia.nocookie.net/plantsvszombies/images/2/2c/Bamboo_Shoot2.png/revision/latest?cb=20230331050619" xr:uid="{00000000-0004-0000-0500-0000CE000000}"/>
    <hyperlink ref="Y209" r:id="rId208" display="https://static.wikia.nocookie.net/plantsvszombies/images/6/69/Oak_Archer2.png/revision/latest?cb=20150322200617" xr:uid="{00000000-0004-0000-0500-0000CF000000}"/>
    <hyperlink ref="Y210" r:id="rId209" display="https://static.wikia.nocookie.net/plantsvszombies/images/e/e7/Coffee_Bean2.png/revision/latest?cb=20150322201447" xr:uid="{00000000-0004-0000-0500-0000D0000000}"/>
    <hyperlink ref="Y211" r:id="rId210" display="https://static.wikia.nocookie.net/plantsvszombies/images/c/c6/Plantern2.png/revision/latest?cb=20150714005549" xr:uid="{00000000-0004-0000-0500-0000D1000000}"/>
    <hyperlink ref="Y212" r:id="rId211" display="https://static.wikia.nocookie.net/plantsvszombies/images/e/e9/Acid_Lemon2.png/revision/latest?cb=20150805184227" xr:uid="{00000000-0004-0000-0500-0000D2000000}"/>
    <hyperlink ref="Y213" r:id="rId212" display="https://static.wikia.nocookie.net/plantsvszombies/images/5/57/Lotus_Pod2.png/revision/latest?cb=20150517073958" xr:uid="{00000000-0004-0000-0500-0000D3000000}"/>
    <hyperlink ref="Y214" r:id="rId213" display="https://static.wikia.nocookie.net/plantsvszombies/images/2/2a/Rafflesia2.png/revision/latest?cb=20151031192058" xr:uid="{00000000-0004-0000-0500-0000D4000000}"/>
    <hyperlink ref="Y215" r:id="rId214" display="https://static.wikia.nocookie.net/plantsvszombies/images/2/20/Whirlwind_Acorn2.png/revision/latest?cb=20160818132726" xr:uid="{00000000-0004-0000-0500-0000D5000000}"/>
    <hyperlink ref="Y216" r:id="rId215" display="https://static.wikia.nocookie.net/plantsvszombies/images/9/98/Loquat2.png/revision/latest?cb=20221226045117" xr:uid="{00000000-0004-0000-0500-0000D6000000}"/>
    <hyperlink ref="Y217" r:id="rId216" display="https://static.wikia.nocookie.net/plantsvszombies/images/c/cf/Asparagus2.png/revision/latest?cb=20221225063419" xr:uid="{00000000-0004-0000-0500-0000D7000000}"/>
    <hyperlink ref="Y218" r:id="rId217" display="https://static.wikia.nocookie.net/plantsvszombies/images/f/f3/Saucer2.png/revision/latest?cb=20221226045102" xr:uid="{00000000-0004-0000-0500-0000D8000000}"/>
    <hyperlink ref="Y219" r:id="rId218" display="https://static.wikia.nocookie.net/plantsvszombies/images/6/63/Horsebean2.png/revision/latest?cb=20221226045045" xr:uid="{00000000-0004-0000-0500-0000D9000000}"/>
    <hyperlink ref="Y220" r:id="rId219" display="https://static.wikia.nocookie.net/plantsvszombies/images/2/2e/Groundcherry2.png/revision/latest?cb=20221226045026" xr:uid="{00000000-0004-0000-0500-0000DA000000}"/>
    <hyperlink ref="Y221" r:id="rId220" display="https://static.wikia.nocookie.net/plantsvszombies/images/3/3f/Anthurium2.png/revision/latest?cb=20221226044948" xr:uid="{00000000-0004-0000-0500-0000DB000000}"/>
    <hyperlink ref="Y222" r:id="rId221" display="https://static.wikia.nocookie.net/plantsvszombies/images/f/f7/Pineapple2.png/revision/latest?cb=20221226013615" xr:uid="{00000000-0004-0000-0500-0000DC000000}"/>
    <hyperlink ref="Y223" r:id="rId222" display="https://static.wikia.nocookie.net/plantsvszombies/images/c/c1/Jackfruit2.png/revision/latest?cb=20160122031402" xr:uid="{00000000-0004-0000-0500-0000DD000000}"/>
    <hyperlink ref="Y224" r:id="rId223" display="https://static.wikia.nocookie.net/plantsvszombies/images/2/2d/Morning_Glory2.png/revision/latest?cb=20221226051932" xr:uid="{00000000-0004-0000-0500-0000DE000000}"/>
    <hyperlink ref="Y225" r:id="rId224" display="https://static.wikia.nocookie.net/plantsvszombies/images/a/ad/Primal_Rafflesia2.png/revision/latest?cb=20221220085823" xr:uid="{00000000-0004-0000-0500-0000DF000000}"/>
    <hyperlink ref="Y226" r:id="rId225" display="https://static.wikia.nocookie.net/plantsvszombies/images/a/ad/Dino-Roar_Grass2.png/revision/latest?cb=20190705052324" xr:uid="{00000000-0004-0000-0500-0000E0000000}"/>
    <hyperlink ref="Y227" r:id="rId226" display="https://static.wikia.nocookie.net/plantsvszombies/images/d/d4/Timid_Thorns2.png/revision/latest?cb=20221215222719" xr:uid="{00000000-0004-0000-0500-0000E1000000}"/>
    <hyperlink ref="Y228" r:id="rId227" display="https://static.wikia.nocookie.net/plantsvszombies/images/2/22/Sugarcane_Master2.png/revision/latest?cb=20221220085223" xr:uid="{00000000-0004-0000-0500-0000E2000000}"/>
    <hyperlink ref="Y229" r:id="rId228" display="https://static.wikia.nocookie.net/plantsvszombies/images/d/dd/Flat-shroom2.png/revision/latest?cb=20180825114906" xr:uid="{00000000-0004-0000-0500-0000E3000000}"/>
    <hyperlink ref="Y230" r:id="rId229" display="https://static.wikia.nocookie.net/plantsvszombies/images/7/72/Lotus_Shooter2.png/revision/latest?cb=20230909021319" xr:uid="{00000000-0004-0000-0500-0000E4000000}"/>
    <hyperlink ref="Y231" r:id="rId230" display="https://static.wikia.nocookie.net/plantsvszombies/images/7/76/Maypop_Mechanic2.png/revision/latest?cb=20190319131928" xr:uid="{00000000-0004-0000-0500-0000E5000000}"/>
    <hyperlink ref="Y232" r:id="rId231" display="https://static.wikia.nocookie.net/plantsvszombies/images/6/6e/Wind-Blowing_Vanilla2.png/revision/latest?cb=20180825120100" xr:uid="{00000000-0004-0000-0500-0000E6000000}"/>
    <hyperlink ref="Y233" r:id="rId232" display="https://static.wikia.nocookie.net/plantsvszombies/images/a/ad/Convallaria_Pharmacist2.png/revision/latest?cb=20190217205325" xr:uid="{00000000-0004-0000-0500-0000E7000000}"/>
    <hyperlink ref="Y234" r:id="rId233" display="https://static.wikia.nocookie.net/plantsvszombies/images/a/a5/Mulberry_Blaster2.png/revision/latest?cb=20190321155348" xr:uid="{00000000-0004-0000-0500-0000E8000000}"/>
    <hyperlink ref="Y235" r:id="rId234" display="https://static.wikia.nocookie.net/plantsvszombies/images/d/db/Rose_Swordfighter2.png/revision/latest?cb=20200803061104" xr:uid="{00000000-0004-0000-0500-0000E9000000}"/>
    <hyperlink ref="Y236" r:id="rId235" display="https://static.wikia.nocookie.net/plantsvszombies/images/5/52/Bearberry_Mortar2.png/revision/latest?cb=20190926013605" xr:uid="{00000000-0004-0000-0500-0000EA000000}"/>
    <hyperlink ref="Y237" r:id="rId236" display="https://static.wikia.nocookie.net/plantsvszombies/images/c/c9/Wax_Gourd_Guard2.png/revision/latest?cb=20190926013735" xr:uid="{00000000-0004-0000-0500-0000EB000000}"/>
    <hyperlink ref="Y238" r:id="rId237" display="https://static.wikia.nocookie.net/plantsvszombies/images/2/2e/Oily_Olive2.png/revision/latest?cb=20191214184514" xr:uid="{00000000-0004-0000-0500-0000EC000000}"/>
    <hyperlink ref="Y239" r:id="rId238" display="https://static.wikia.nocookie.net/plantsvszombies/images/e/ee/Jeweler_Pomegranate2.png/revision/latest?cb=20191215184623" xr:uid="{00000000-0004-0000-0500-0000ED000000}"/>
    <hyperlink ref="Y240" r:id="rId239" display="https://static.wikia.nocookie.net/plantsvszombies/images/6/6b/Dripping_Diphylleia2.png/revision/latest?cb=20210125075450" xr:uid="{00000000-0004-0000-0500-0000EE000000}"/>
    <hyperlink ref="Y241" r:id="rId240" display="https://static.wikia.nocookie.net/plantsvszombies/images/f/fd/Dendrobium_Windbreak2.png/revision/latest?cb=20210207112655" xr:uid="{00000000-0004-0000-0500-0000EF000000}"/>
    <hyperlink ref="Y242" r:id="rId241" display="https://static.wikia.nocookie.net/plantsvszombies/images/d/da/Stephania2.png/revision/latest?cb=20210207105812" xr:uid="{00000000-0004-0000-0500-0000F0000000}"/>
    <hyperlink ref="Y243" r:id="rId242" display="https://static.wikia.nocookie.net/plantsvszombies/images/d/d6/Tupistra_Stalker2.png/revision/latest?cb=20210207112128" xr:uid="{00000000-0004-0000-0500-0000F1000000}"/>
    <hyperlink ref="Y244" r:id="rId243" display="https://static.wikia.nocookie.net/plantsvszombies/images/6/63/Chef_Cypripedium2.png/revision/latest?cb=20210207112340" xr:uid="{00000000-0004-0000-0500-0000F2000000}"/>
    <hyperlink ref="Y245" r:id="rId244" display="https://static.wikia.nocookie.net/plantsvszombies/images/a/ae/Boophone_Geigi2.png/revision/latest?cb=20210413014707" xr:uid="{00000000-0004-0000-0500-0000F3000000}"/>
    <hyperlink ref="Y246" r:id="rId245" display="https://static.wikia.nocookie.net/plantsvszombies/images/1/18/Hat_Mushroom2.png/revision/latest?cb=20220729021042" xr:uid="{00000000-0004-0000-0500-0000F4000000}"/>
    <hyperlink ref="Y247" r:id="rId246" display="https://static.wikia.nocookie.net/plantsvszombies/images/7/7a/Ents2.png/revision/latest?cb=20220729021122" xr:uid="{00000000-0004-0000-0500-0000F5000000}"/>
    <hyperlink ref="Y248" r:id="rId247" display="https://static.wikia.nocookie.net/plantsvszombies/images/8/85/Princess_Spring_Grass2.png/revision/latest?cb=20220729021016" xr:uid="{00000000-0004-0000-0500-0000F6000000}"/>
    <hyperlink ref="Y249" r:id="rId248" display="https://static.wikia.nocookie.net/plantsvszombies/images/1/17/Bamboo_Trooper2.png/revision/latest?cb=20220728220644" xr:uid="{00000000-0004-0000-0500-0000F7000000}"/>
    <hyperlink ref="Y250" r:id="rId249" display="https://static.wikia.nocookie.net/plantsvszombies/images/a/a1/Pyro-shroom2.png/revision/latest?cb=20230226070859" xr:uid="{00000000-0004-0000-0500-0000F8000000}"/>
    <hyperlink ref="Y251" r:id="rId250" display="https://static.wikia.nocookie.net/plantsvszombies/images/5/51/Cryo-shroom2.png/revision/latest?cb=20230226070920" xr:uid="{00000000-0004-0000-0500-0000F9000000}"/>
    <hyperlink ref="Y252" r:id="rId251" display="https://static.wikia.nocookie.net/plantsvszombies/images/e/e1/Carrotillery2.png/revision/latest?cb=20190321155305" xr:uid="{00000000-0004-0000-0500-0000FA000000}"/>
    <hyperlink ref="Y253" r:id="rId252" display="https://static.wikia.nocookie.net/plantsvszombies/images/4/47/Strong_Broccoli2.png/revision/latest?cb=20240605051128" xr:uid="{00000000-0004-0000-0500-0000FB000000}"/>
    <hyperlink ref="Y254" r:id="rId253" display="https://static.wikia.nocookie.net/plantsvszombies/images/d/d1/Machine_Gun_Pomegranate2.png/revision/latest?cb=20190714181437" xr:uid="{00000000-0004-0000-0500-0000FC000000}"/>
    <hyperlink ref="Y255" r:id="rId254" display="https://static.wikia.nocookie.net/plantsvszombies/images/3/3f/Landlord_Bamboo2.png/revision/latest?cb=20160818132722" xr:uid="{00000000-0004-0000-0500-0000FD000000}"/>
    <hyperlink ref="Y256" r:id="rId255" display="https://static.wikia.nocookie.net/plantsvszombies/images/f/fa/Chestnut_Squad2.png/revision/latest?cb=20170210131218" xr:uid="{00000000-0004-0000-0500-0000FE000000}"/>
    <hyperlink ref="Y257" r:id="rId256" display="https://static.wikia.nocookie.net/plantsvszombies/images/c/c8/Bamboo_Bro2.png/revision/latest?cb=20210513062720" xr:uid="{00000000-0004-0000-0500-0000FF000000}"/>
    <hyperlink ref="Y258" r:id="rId257" display="https://static.wikia.nocookie.net/plantsvszombies/images/0/0f/Magic-shroom2.png/revision/latest?cb=20190714144506" xr:uid="{00000000-0004-0000-0500-000000010000}"/>
    <hyperlink ref="Y259" r:id="rId258" display="https://static.wikia.nocookie.net/plantsvszombies/images/e/e5/Mischief_Radish2.png/revision/latest?cb=20230111005136" xr:uid="{00000000-0004-0000-0500-000001010000}"/>
    <hyperlink ref="Y260" r:id="rId259" display="https://static.wikia.nocookie.net/plantsvszombies/images/b/b0/Pumpkin_Witch2.png/revision/latest?cb=20220307174545" xr:uid="{00000000-0004-0000-0500-000002010000}"/>
    <hyperlink ref="Y261" r:id="rId260" display="https://static.wikia.nocookie.net/plantsvszombies/images/6/6c/Sunflower_Singer2.png/revision/latest?cb=20221208003802" xr:uid="{00000000-0004-0000-0500-000003010000}"/>
    <hyperlink ref="Y262" r:id="rId261" display="https://static.wikia.nocookie.net/plantsvszombies/images/5/57/Snow_Cotton2.png/revision/latest?cb=20210905073138" xr:uid="{00000000-0004-0000-0500-000004010000}"/>
    <hyperlink ref="Y263" r:id="rId262" display="https://static.wikia.nocookie.net/plantsvszombies/images/e/e6/Agave2.png/revision/latest?cb=20211112011234" xr:uid="{00000000-0004-0000-0500-000005010000}"/>
    <hyperlink ref="Y264" r:id="rId263" display="https://static.wikia.nocookie.net/plantsvszombies/images/b/bc/Kiwifruit2.png/revision/latest?cb=20221216040045" xr:uid="{00000000-0004-0000-0500-000006010000}"/>
    <hyperlink ref="Y265" r:id="rId264" display="https://static.wikia.nocookie.net/plantsvszombies/images/c/c0/Pretty_Plum2.png/revision/latest?cb=20170130043820" xr:uid="{00000000-0004-0000-0500-000007010000}"/>
    <hyperlink ref="Y266" r:id="rId265" display="https://static.wikia.nocookie.net/plantsvszombies/images/6/64/Dragonfruit2.png/revision/latest?cb=20180312024046" xr:uid="{00000000-0004-0000-0500-000008010000}"/>
    <hyperlink ref="Y267" r:id="rId266" display="https://static.wikia.nocookie.net/plantsvszombies/images/5/52/Angel_Starfruit2.png/revision/latest?cb=20190321155238" xr:uid="{00000000-0004-0000-0500-000009010000}"/>
    <hyperlink ref="Y268" r:id="rId267" display="https://static.wikia.nocookie.net/plantsvszombies/images/2/2c/Gatling_Pea2.png/revision/latest?cb=20220323010447" xr:uid="{00000000-0004-0000-0500-00000A010000}"/>
    <hyperlink ref="Y269" r:id="rId268" display="https://static.wikia.nocookie.net/plantsvszombies/images/9/91/Banksia_Boxer2.png/revision/latest?cb=20221208011223" xr:uid="{00000000-0004-0000-0500-00000B010000}"/>
    <hyperlink ref="Y270" r:id="rId269" display="https://static.wikia.nocookie.net/plantsvszombies/images/f/f8/Flame_Flower_Queen2.png/revision/latest?cb=20221208001810" xr:uid="{00000000-0004-0000-0500-00000C010000}"/>
    <hyperlink ref="Y271" r:id="rId270" display="https://static.wikia.nocookie.net/plantsvszombies/images/b/ba/Cattail2.png/revision/latest?cb=20210908084210" xr:uid="{00000000-0004-0000-0500-00000D010000}"/>
    <hyperlink ref="Y272" r:id="rId271" display="https://static.wikia.nocookie.net/plantsvszombies/images/7/73/Cob_Cannon2C.png/revision/latest?cb=20170128062225" xr:uid="{00000000-0004-0000-0500-00000E010000}"/>
    <hyperlink ref="Y273" r:id="rId272" display="https://static.wikia.nocookie.net/plantsvszombies/images/0/0a/White_Melon_Sumo_Wrestler2.png/revision/latest?cb=20170701025441" xr:uid="{00000000-0004-0000-0500-00000F010000}"/>
    <hyperlink ref="Y274" r:id="rId273" display="https://static.wikia.nocookie.net/plantsvszombies/images/f/fb/Icy_Currant2.png/revision/latest?cb=20230226051255" xr:uid="{00000000-0004-0000-0500-000010010000}"/>
    <hyperlink ref="Y275" r:id="rId274" display="https://static.wikia.nocookie.net/plantsvszombies/images/5/54/Tulip_Trumpeter2.png/revision/latest?cb=20180330233219" xr:uid="{00000000-0004-0000-0500-000011010000}"/>
    <hyperlink ref="Y276" r:id="rId275" display="https://static.wikia.nocookie.net/plantsvszombies/images/5/55/Eggplant_Ninja2.png/revision/latest?cb=20230226051118" xr:uid="{00000000-0004-0000-0500-000012010000}"/>
    <hyperlink ref="Y277" r:id="rId276" display="https://static.wikia.nocookie.net/plantsvszombies/images/7/73/Banana_Dancer2.png/revision/latest?cb=20200519051649" xr:uid="{00000000-0004-0000-0500-000013010000}"/>
    <hyperlink ref="Y278" r:id="rId277" display="https://static.wikia.nocookie.net/plantsvszombies/images/5/5b/Dual_Pistol_Pinecone2.png/revision/latest?cb=20221216013432" xr:uid="{00000000-0004-0000-0500-000014010000}"/>
    <hyperlink ref="Y279" r:id="rId278" display="https://static.wikia.nocookie.net/plantsvszombies/images/a/a0/Narcissus_Shooter2.png/revision/latest?cb=20181202123451" xr:uid="{00000000-0004-0000-0500-000015010000}"/>
    <hyperlink ref="Y280" r:id="rId279" display="https://static.wikia.nocookie.net/plantsvszombies/images/0/0f/Alarm_Explosive_Arrowhead2.png/revision/latest?cb=20190131143929" xr:uid="{00000000-0004-0000-0500-000016010000}"/>
    <hyperlink ref="Y281" r:id="rId280" display="https://static.wikia.nocookie.net/plantsvszombies/images/c/c8/Crystal_Orchid2.png/revision/latest?cb=20230222040307" xr:uid="{00000000-0004-0000-0500-000017010000}"/>
    <hyperlink ref="Y282" r:id="rId281" display="https://static.wikia.nocookie.net/plantsvszombies/images/e/e9/Thunder_Snapdragon2.png/revision/latest?cb=20190810152622" xr:uid="{00000000-0004-0000-0500-000018010000}"/>
    <hyperlink ref="Y283" r:id="rId282" display="https://static.wikia.nocookie.net/plantsvszombies/images/a/ae/Egret_Flower_Plane2.png/revision/latest?cb=20200114205809" xr:uid="{00000000-0004-0000-0500-000019010000}"/>
    <hyperlink ref="Y284" r:id="rId283" display="https://static.wikia.nocookie.net/plantsvszombies/images/5/5d/Elaeocarpus-pult2.png/revision/latest?cb=20200418155447" xr:uid="{00000000-0004-0000-0500-00001A010000}"/>
    <hyperlink ref="Y285" r:id="rId284" display="https://static.wikia.nocookie.net/plantsvszombies/images/d/d2/Water_Chestnut_Brothers2.png/revision/latest?cb=20200716201954" xr:uid="{00000000-0004-0000-0500-00001B010000}"/>
    <hyperlink ref="Y286" r:id="rId285" display="https://static.wikia.nocookie.net/plantsvszombies/images/8/88/Dollarweed_Drummer2.png/revision/latest?cb=20201226065335" xr:uid="{00000000-0004-0000-0500-00001C010000}"/>
    <hyperlink ref="Y287" r:id="rId286" display="https://static.wikia.nocookie.net/plantsvszombies/images/e/e5/Shadow_Vanilla2.png/revision/latest?cb=20210728071427" xr:uid="{00000000-0004-0000-0500-00001D010000}"/>
    <hyperlink ref="Y288" r:id="rId287" display="https://static.wikia.nocookie.net/plantsvszombies/images/4/47/Splendens_Blade2.png/revision/latest?cb=20201212160706" xr:uid="{00000000-0004-0000-0500-00001E010000}"/>
    <hyperlink ref="Y289" r:id="rId288" display="https://static.wikia.nocookie.net/plantsvszombies/images/6/6a/Earthstar_Nuclear_Silo2.png/revision/latest?cb=20210526043408" xr:uid="{00000000-0004-0000-0500-00001F010000}"/>
    <hyperlink ref="Y290" r:id="rId289" display="https://static.wikia.nocookie.net/plantsvszombies/images/b/bb/Celebration_Soda_Palm2.png/revision/latest?cb=20210816072216" xr:uid="{00000000-0004-0000-0500-000020010000}"/>
    <hyperlink ref="Y291" r:id="rId290" display="https://static.wikia.nocookie.net/plantsvszombies/images/0/0c/Impatiens_Shooter2.png/revision/latest?cb=20211018030240" xr:uid="{00000000-0004-0000-0500-000021010000}"/>
    <hyperlink ref="Y292" r:id="rId291" display="https://static.wikia.nocookie.net/plantsvszombies/images/5/59/Tiger_Claw2.png/revision/latest?cb=20211018033803" xr:uid="{00000000-0004-0000-0500-000022010000}"/>
    <hyperlink ref="Y293" r:id="rId292" display="https://static.wikia.nocookie.net/plantsvszombies/images/7/75/Hammer_Flower2.png/revision/latest?cb=20211205022154" xr:uid="{00000000-0004-0000-0500-000023010000}"/>
    <hyperlink ref="Y294" r:id="rId293" display="https://static.wikia.nocookie.net/plantsvszombies/images/9/9f/Fishhook_Grass2.png/revision/latest?cb=20211205022802" xr:uid="{00000000-0004-0000-0500-000024010000}"/>
    <hyperlink ref="Y295" r:id="rId294" display="https://static.wikia.nocookie.net/plantsvszombies/images/d/d7/Mangosteen2.png/revision/latest?cb=20211222225341" xr:uid="{00000000-0004-0000-0500-000025010000}"/>
    <hyperlink ref="Y296" r:id="rId295" display="https://static.wikia.nocookie.net/plantsvszombies/images/f/f7/Tigerstool2.png/revision/latest?cb=20220125215427" xr:uid="{00000000-0004-0000-0500-000026010000}"/>
    <hyperlink ref="Y297" r:id="rId296" display="https://static.wikia.nocookie.net/plantsvszombies/images/f/f1/Gardener_Grass2.png/revision/latest?cb=20220311003749" xr:uid="{00000000-0004-0000-0500-000027010000}"/>
    <hyperlink ref="Y298" r:id="rId297" display="https://static.wikia.nocookie.net/plantsvszombies/images/6/63/Byttneria_Meteor_Hammer2.png/revision/latest?cb=20221001234422" xr:uid="{00000000-0004-0000-0500-000028010000}"/>
    <hyperlink ref="Y299" r:id="rId298" display="https://static.wikia.nocookie.net/plantsvszombies/images/a/a7/Laser_Crown_Flower2.png/revision/latest?cb=20221001055728" xr:uid="{00000000-0004-0000-0500-000029010000}"/>
    <hyperlink ref="Y300" r:id="rId299" display="https://static.wikia.nocookie.net/plantsvszombies/images/3/39/Orchid_Mage2.png/revision/latest?cb=20221109070331" xr:uid="{00000000-0004-0000-0500-00002A010000}"/>
    <hyperlink ref="Y301" r:id="rId300" display="https://static.wikia.nocookie.net/plantsvszombies/images/b/b9/Twin_Year_of_the_Rabbits2.png/revision/latest?cb=20230129074906" xr:uid="{00000000-0004-0000-0500-00002B010000}"/>
    <hyperlink ref="Y302" r:id="rId301" display="https://static.wikia.nocookie.net/plantsvszombies/images/e/e9/Pea_Pharmacist2.png/revision/latest?cb=20230129074812" xr:uid="{00000000-0004-0000-0500-00002C010000}"/>
    <hyperlink ref="Y303" r:id="rId302" display="https://static.wikia.nocookie.net/plantsvszombies/images/b/b1/Pike_Hoya2.png/revision/latest?cb=20230129074720" xr:uid="{00000000-0004-0000-0500-00002D010000}"/>
    <hyperlink ref="Y304" r:id="rId303" display="https://static.wikia.nocookie.net/plantsvszombies/images/e/e0/Burdock_Batter2.png/revision/latest?cb=20230309021850" xr:uid="{00000000-0004-0000-0500-00002E010000}"/>
    <hyperlink ref="Y305" r:id="rId304" display="https://static.wikia.nocookie.net/plantsvszombies/images/3/30/Capaci-cone2.png/revision/latest?cb=20230430190812" xr:uid="{00000000-0004-0000-0500-00002F010000}"/>
    <hyperlink ref="Y306" r:id="rId305" display="https://static.wikia.nocookie.net/plantsvszombies/images/c/ce/Cranesbill_Fencer2.png/revision/latest?cb=20230430190734" xr:uid="{00000000-0004-0000-0500-000030010000}"/>
    <hyperlink ref="Y307" r:id="rId306" display="https://static.wikia.nocookie.net/plantsvszombies/images/6/65/Gorgon_Pitcher2.png/revision/latest?cb=20230526001308" xr:uid="{00000000-0004-0000-0500-000031010000}"/>
    <hyperlink ref="Y308" r:id="rId307" display="https://static.wikia.nocookie.net/plantsvszombies/images/4/47/Abyss_Anemone2.png/revision/latest?cb=20230707001419" xr:uid="{00000000-0004-0000-0500-000032010000}"/>
    <hyperlink ref="Y309" r:id="rId308" display="https://static.wikia.nocookie.net/plantsvszombies/images/4/41/Parkour_Mandrake2.png/revision/latest?cb=20230707000354" xr:uid="{00000000-0004-0000-0500-000033010000}"/>
    <hyperlink ref="Y310" r:id="rId309" display="https://static.wikia.nocookie.net/plantsvszombies/images/8/8c/Abyss_Devil%27s_Claw2.png/revision/latest?cb=20230915022000" xr:uid="{00000000-0004-0000-0500-000034010000}"/>
    <hyperlink ref="Y311" r:id="rId310" display="https://static.wikia.nocookie.net/plantsvszombies/images/a/a6/Hoya_Heart2.png/revision/latest?cb=20230903215635" xr:uid="{00000000-0004-0000-0500-000035010000}"/>
    <hyperlink ref="Y312" r:id="rId311" display="https://static.wikia.nocookie.net/plantsvszombies/images/5/58/Oilseed-pult2.png/revision/latest?cb=20230926000742" xr:uid="{00000000-0004-0000-0500-000036010000}"/>
    <hyperlink ref="Y313" r:id="rId312" display="https://static.wikia.nocookie.net/plantsvszombies/images/d/d8/Leaf-Blade_Dracaena2.png/revision/latest?cb=20231115171036" xr:uid="{00000000-0004-0000-0500-000037010000}"/>
    <hyperlink ref="Y314" r:id="rId313" display="https://static.wikia.nocookie.net/plantsvszombies/images/6/62/Sunshine_Leek2.png/revision/latest?cb=20231228004246" xr:uid="{00000000-0004-0000-0500-000038010000}"/>
    <hyperlink ref="Y315" r:id="rId314" display="https://static.wikia.nocookie.net/plantsvszombies/images/f/f1/Gluttonous_Snapdragon2.png/revision/latest?cb=20240202052734" xr:uid="{00000000-0004-0000-0500-000039010000}"/>
    <hyperlink ref="Y316" r:id="rId315" display="https://static.wikia.nocookie.net/plantsvszombies/images/5/50/Heliconia_Gunner2.png/revision/latest?cb=20240312005444" xr:uid="{00000000-0004-0000-0500-00003A010000}"/>
    <hyperlink ref="Y317" r:id="rId316" display="https://static.wikia.nocookie.net/plantsvszombies/images/d/db/Thorn_Wizard2.png/revision/latest?cb=20240423072847" xr:uid="{00000000-0004-0000-0500-00003B010000}"/>
    <hyperlink ref="Y318" r:id="rId317" display="https://static.wikia.nocookie.net/plantsvszombies/images/6/61/Cactus_Mistletoe2.png/revision/latest?cb=20240523193645" xr:uid="{00000000-0004-0000-0500-00003C010000}"/>
    <hyperlink ref="Y319" r:id="rId318" display="https://static.wikia.nocookie.net/plantsvszombies/images/3/36/Sawblade_Sundew2.png/revision/latest?cb=20240523204137" xr:uid="{00000000-0004-0000-0500-00003D010000}"/>
    <hyperlink ref="Y320" r:id="rId319" display="https://static.wikia.nocookie.net/plantsvszombies/images/3/3d/Electric_Tailgrape2.png/revision/latest?cb=20240711013633" xr:uid="{00000000-0004-0000-0500-00003E010000}"/>
    <hyperlink ref="Y321" r:id="rId320" display="https://static.wikia.nocookie.net/plantsvszombies/images/a/ac/Gramophone_Datura2.png/revision/latest?cb=20240901124249" xr:uid="{00000000-0004-0000-0500-00003F010000}"/>
    <hyperlink ref="Y322" r:id="rId321" display="https://static.wikia.nocookie.net/plantsvszombies/images/3/33/Crazy_Firecracker_Flower2.png/revision/latest?cb=20240901124501" xr:uid="{00000000-0004-0000-0500-000040010000}"/>
    <hyperlink ref="Y323" r:id="rId322" display="https://static.wikia.nocookie.net/plantsvszombies/images/2/2d/Lunisolar_Honeysuckle2.png/revision/latest?cb=20241028203916" xr:uid="{00000000-0004-0000-0500-000041010000}"/>
    <hyperlink ref="Y324" r:id="rId323" display="https://static.wikia.nocookie.net/plantsvszombies/images/9/99/Frost_Rambutan2.png/revision/latest?cb=20241113015534" xr:uid="{00000000-0004-0000-0500-000042010000}"/>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324"/>
  <sheetViews>
    <sheetView tabSelected="1" workbookViewId="0">
      <pane ySplit="1" topLeftCell="A2" activePane="bottomLeft" state="frozen"/>
      <selection pane="bottomLeft" activeCell="I239" sqref="I239"/>
    </sheetView>
  </sheetViews>
  <sheetFormatPr defaultColWidth="12.5703125" defaultRowHeight="15.75" customHeight="1" x14ac:dyDescent="0.2"/>
  <cols>
    <col min="2" max="2" width="15.42578125" customWidth="1"/>
    <col min="3" max="3" width="15.7109375" customWidth="1"/>
    <col min="4" max="4" width="14.42578125" customWidth="1"/>
    <col min="5" max="5" width="37.5703125" customWidth="1"/>
    <col min="6" max="6" width="15.42578125" customWidth="1"/>
    <col min="7" max="7" width="13.85546875" customWidth="1"/>
    <col min="8" max="8" width="14.85546875" customWidth="1"/>
    <col min="9" max="9" width="14.85546875" style="92" customWidth="1"/>
    <col min="10" max="10" width="37.5703125" customWidth="1"/>
    <col min="11" max="11" width="36.42578125" customWidth="1"/>
    <col min="12" max="12" width="37.5703125" customWidth="1"/>
    <col min="13" max="13" width="16.42578125" customWidth="1"/>
    <col min="14" max="14" width="17" customWidth="1"/>
    <col min="15" max="15" width="20.140625" customWidth="1"/>
    <col min="16" max="16" width="14.42578125" customWidth="1"/>
    <col min="17" max="17" width="18.140625" customWidth="1"/>
    <col min="18" max="18" width="17.7109375" customWidth="1"/>
    <col min="19" max="19" width="13.140625" customWidth="1"/>
    <col min="20" max="20" width="16.85546875" customWidth="1"/>
    <col min="21" max="21" width="17.85546875" customWidth="1"/>
    <col min="22" max="22" width="17.42578125" customWidth="1"/>
    <col min="24" max="25" width="37.5703125" customWidth="1"/>
  </cols>
  <sheetData>
    <row r="1" spans="1:25" x14ac:dyDescent="0.2">
      <c r="A1" s="66" t="s">
        <v>0</v>
      </c>
      <c r="B1" s="67" t="s">
        <v>1</v>
      </c>
      <c r="C1" s="67" t="s">
        <v>2</v>
      </c>
      <c r="D1" s="67" t="s">
        <v>3</v>
      </c>
      <c r="E1" s="67" t="s">
        <v>4</v>
      </c>
      <c r="F1" s="67" t="s">
        <v>5</v>
      </c>
      <c r="G1" s="67" t="s">
        <v>6</v>
      </c>
      <c r="H1" s="67" t="s">
        <v>7</v>
      </c>
      <c r="I1" s="93" t="s">
        <v>8</v>
      </c>
      <c r="J1" s="67" t="s">
        <v>9</v>
      </c>
      <c r="K1" s="67" t="s">
        <v>10</v>
      </c>
      <c r="L1" s="67" t="s">
        <v>11</v>
      </c>
      <c r="M1" s="67" t="s">
        <v>12</v>
      </c>
      <c r="N1" s="67" t="s">
        <v>13</v>
      </c>
      <c r="O1" s="67" t="s">
        <v>14</v>
      </c>
      <c r="P1" s="67" t="s">
        <v>15</v>
      </c>
      <c r="Q1" s="67" t="s">
        <v>16</v>
      </c>
      <c r="R1" s="67" t="s">
        <v>17</v>
      </c>
      <c r="S1" s="67" t="s">
        <v>18</v>
      </c>
      <c r="T1" s="67" t="s">
        <v>19</v>
      </c>
      <c r="U1" s="67" t="s">
        <v>20</v>
      </c>
      <c r="V1" s="67" t="s">
        <v>21</v>
      </c>
      <c r="W1" s="68" t="s">
        <v>22</v>
      </c>
      <c r="X1" s="68" t="s">
        <v>23</v>
      </c>
      <c r="Y1" s="69" t="s">
        <v>24</v>
      </c>
    </row>
    <row r="2" spans="1:25" x14ac:dyDescent="0.2">
      <c r="A2" s="70">
        <v>1</v>
      </c>
      <c r="B2" s="30" t="s">
        <v>25</v>
      </c>
      <c r="C2" s="30" t="s">
        <v>26</v>
      </c>
      <c r="D2" s="30" t="s">
        <v>27</v>
      </c>
      <c r="E2" s="30" t="s">
        <v>28</v>
      </c>
      <c r="F2" s="30">
        <v>100</v>
      </c>
      <c r="G2" s="30">
        <v>300</v>
      </c>
      <c r="H2" s="30">
        <v>20</v>
      </c>
      <c r="I2" s="71">
        <v>5</v>
      </c>
      <c r="J2" s="30" t="s">
        <v>29</v>
      </c>
      <c r="M2" s="32" t="b">
        <v>0</v>
      </c>
      <c r="N2" s="32" t="b">
        <v>0</v>
      </c>
      <c r="O2" s="30">
        <v>0</v>
      </c>
      <c r="P2" s="30" t="s">
        <v>30</v>
      </c>
      <c r="R2" s="30" t="s">
        <v>31</v>
      </c>
      <c r="S2" s="30" t="s">
        <v>32</v>
      </c>
      <c r="T2" s="72" t="s">
        <v>33</v>
      </c>
      <c r="U2" s="72" t="s">
        <v>33</v>
      </c>
      <c r="V2" s="72" t="s">
        <v>34</v>
      </c>
      <c r="W2" s="30" t="s">
        <v>35</v>
      </c>
      <c r="X2" s="30" t="s">
        <v>36</v>
      </c>
      <c r="Y2" s="73" t="s">
        <v>37</v>
      </c>
    </row>
    <row r="3" spans="1:25" x14ac:dyDescent="0.2">
      <c r="A3" s="74">
        <v>2</v>
      </c>
      <c r="B3" s="21" t="s">
        <v>38</v>
      </c>
      <c r="C3" s="21" t="s">
        <v>39</v>
      </c>
      <c r="D3" s="21" t="s">
        <v>40</v>
      </c>
      <c r="E3" s="21" t="s">
        <v>41</v>
      </c>
      <c r="F3" s="21">
        <v>50</v>
      </c>
      <c r="G3" s="21">
        <v>300</v>
      </c>
      <c r="H3" s="21">
        <v>0</v>
      </c>
      <c r="I3" s="75">
        <v>5</v>
      </c>
      <c r="J3" s="21" t="s">
        <v>42</v>
      </c>
      <c r="M3" s="76" t="b">
        <v>0</v>
      </c>
      <c r="N3" s="76" t="b">
        <v>0</v>
      </c>
      <c r="O3" s="21">
        <v>50</v>
      </c>
      <c r="P3" s="21" t="s">
        <v>30</v>
      </c>
      <c r="R3" s="21" t="s">
        <v>43</v>
      </c>
      <c r="S3" s="21" t="s">
        <v>32</v>
      </c>
      <c r="T3" s="77" t="s">
        <v>33</v>
      </c>
      <c r="U3" s="77" t="s">
        <v>33</v>
      </c>
      <c r="V3" s="77" t="s">
        <v>44</v>
      </c>
      <c r="W3" s="21" t="s">
        <v>45</v>
      </c>
      <c r="X3" s="21" t="s">
        <v>36</v>
      </c>
      <c r="Y3" s="78" t="s">
        <v>46</v>
      </c>
    </row>
    <row r="4" spans="1:25" x14ac:dyDescent="0.2">
      <c r="A4" s="70">
        <v>3</v>
      </c>
      <c r="B4" s="30" t="s">
        <v>47</v>
      </c>
      <c r="C4" s="30" t="s">
        <v>48</v>
      </c>
      <c r="D4" s="30" t="s">
        <v>49</v>
      </c>
      <c r="E4" s="30" t="s">
        <v>50</v>
      </c>
      <c r="F4" s="30">
        <v>50</v>
      </c>
      <c r="G4" s="30">
        <v>4000</v>
      </c>
      <c r="H4" s="30">
        <v>0</v>
      </c>
      <c r="I4" s="71">
        <v>20</v>
      </c>
      <c r="J4" s="30" t="s">
        <v>51</v>
      </c>
      <c r="M4" s="32" t="b">
        <v>0</v>
      </c>
      <c r="N4" s="32" t="b">
        <v>0</v>
      </c>
      <c r="O4" s="30">
        <v>0</v>
      </c>
      <c r="P4" s="30" t="s">
        <v>30</v>
      </c>
      <c r="R4" s="30" t="s">
        <v>52</v>
      </c>
      <c r="S4" s="30" t="s">
        <v>32</v>
      </c>
      <c r="T4" s="72" t="s">
        <v>33</v>
      </c>
      <c r="U4" s="72" t="s">
        <v>33</v>
      </c>
      <c r="V4" s="72" t="s">
        <v>53</v>
      </c>
      <c r="W4" s="30" t="s">
        <v>54</v>
      </c>
      <c r="X4" s="30" t="s">
        <v>55</v>
      </c>
      <c r="Y4" s="73" t="s">
        <v>56</v>
      </c>
    </row>
    <row r="5" spans="1:25" x14ac:dyDescent="0.2">
      <c r="A5" s="74">
        <v>4</v>
      </c>
      <c r="B5" s="21" t="s">
        <v>57</v>
      </c>
      <c r="C5" s="21" t="s">
        <v>58</v>
      </c>
      <c r="D5" s="21" t="s">
        <v>59</v>
      </c>
      <c r="E5" s="21" t="s">
        <v>60</v>
      </c>
      <c r="F5" s="21">
        <v>25</v>
      </c>
      <c r="G5" s="21">
        <v>300</v>
      </c>
      <c r="H5" s="21">
        <v>1800</v>
      </c>
      <c r="I5" s="75">
        <v>20</v>
      </c>
      <c r="J5" s="21" t="s">
        <v>61</v>
      </c>
      <c r="M5" s="76" t="b">
        <v>1</v>
      </c>
      <c r="N5" s="76" t="b">
        <v>0</v>
      </c>
      <c r="O5" s="21">
        <v>0</v>
      </c>
      <c r="P5" s="21" t="s">
        <v>30</v>
      </c>
      <c r="R5" s="21" t="s">
        <v>62</v>
      </c>
      <c r="S5" s="21" t="s">
        <v>32</v>
      </c>
      <c r="T5" s="77" t="s">
        <v>33</v>
      </c>
      <c r="U5" s="77" t="s">
        <v>33</v>
      </c>
      <c r="V5" s="77" t="s">
        <v>63</v>
      </c>
      <c r="W5" s="21" t="s">
        <v>11</v>
      </c>
      <c r="X5" s="21" t="s">
        <v>64</v>
      </c>
      <c r="Y5" s="78" t="s">
        <v>65</v>
      </c>
    </row>
    <row r="6" spans="1:25" x14ac:dyDescent="0.2">
      <c r="A6" s="70">
        <v>5</v>
      </c>
      <c r="B6" s="30" t="s">
        <v>66</v>
      </c>
      <c r="C6" s="30" t="s">
        <v>67</v>
      </c>
      <c r="D6" s="30" t="s">
        <v>68</v>
      </c>
      <c r="E6" s="30" t="s">
        <v>69</v>
      </c>
      <c r="F6" s="30">
        <v>100</v>
      </c>
      <c r="G6" s="30">
        <v>300</v>
      </c>
      <c r="H6" s="30">
        <v>40</v>
      </c>
      <c r="I6" s="71">
        <v>5</v>
      </c>
      <c r="J6" s="30" t="s">
        <v>70</v>
      </c>
      <c r="M6" s="32" t="b">
        <v>0</v>
      </c>
      <c r="N6" s="32" t="b">
        <v>0</v>
      </c>
      <c r="O6" s="30">
        <v>0</v>
      </c>
      <c r="P6" s="30" t="s">
        <v>30</v>
      </c>
      <c r="Q6" s="30" t="s">
        <v>71</v>
      </c>
      <c r="R6" s="30" t="s">
        <v>72</v>
      </c>
      <c r="S6" s="30" t="s">
        <v>32</v>
      </c>
      <c r="T6" s="72" t="s">
        <v>33</v>
      </c>
      <c r="U6" s="72" t="s">
        <v>33</v>
      </c>
      <c r="V6" s="72" t="s">
        <v>73</v>
      </c>
      <c r="W6" s="30" t="s">
        <v>35</v>
      </c>
      <c r="X6" s="30" t="s">
        <v>74</v>
      </c>
      <c r="Y6" s="73" t="s">
        <v>75</v>
      </c>
    </row>
    <row r="7" spans="1:25" x14ac:dyDescent="0.2">
      <c r="A7" s="74">
        <v>6</v>
      </c>
      <c r="B7" s="21" t="s">
        <v>76</v>
      </c>
      <c r="C7" s="21" t="s">
        <v>77</v>
      </c>
      <c r="D7" s="21" t="s">
        <v>78</v>
      </c>
      <c r="E7" s="21" t="s">
        <v>79</v>
      </c>
      <c r="F7" s="21">
        <v>175</v>
      </c>
      <c r="G7" s="21">
        <v>300</v>
      </c>
      <c r="H7" s="21">
        <v>20</v>
      </c>
      <c r="I7" s="75">
        <v>5</v>
      </c>
      <c r="J7" s="21" t="s">
        <v>80</v>
      </c>
      <c r="M7" s="76" t="b">
        <v>0</v>
      </c>
      <c r="N7" s="76" t="b">
        <v>0</v>
      </c>
      <c r="O7" s="21">
        <v>0</v>
      </c>
      <c r="P7" s="21" t="s">
        <v>30</v>
      </c>
      <c r="R7" s="21" t="s">
        <v>43</v>
      </c>
      <c r="S7" s="21" t="s">
        <v>32</v>
      </c>
      <c r="T7" s="77" t="s">
        <v>33</v>
      </c>
      <c r="U7" s="77" t="s">
        <v>33</v>
      </c>
      <c r="V7" s="77" t="s">
        <v>81</v>
      </c>
      <c r="W7" s="21" t="s">
        <v>35</v>
      </c>
      <c r="X7" s="21" t="s">
        <v>82</v>
      </c>
      <c r="Y7" s="78" t="s">
        <v>83</v>
      </c>
    </row>
    <row r="8" spans="1:25" x14ac:dyDescent="0.2">
      <c r="A8" s="70">
        <v>7</v>
      </c>
      <c r="B8" s="30" t="s">
        <v>84</v>
      </c>
      <c r="C8" s="30" t="s">
        <v>85</v>
      </c>
      <c r="D8" s="30" t="s">
        <v>86</v>
      </c>
      <c r="E8" s="30" t="s">
        <v>87</v>
      </c>
      <c r="F8" s="30">
        <v>0</v>
      </c>
      <c r="G8" s="30">
        <v>1</v>
      </c>
      <c r="H8" s="30">
        <v>0</v>
      </c>
      <c r="I8" s="71">
        <v>20</v>
      </c>
      <c r="J8" s="30" t="s">
        <v>88</v>
      </c>
      <c r="L8" s="30" t="s">
        <v>89</v>
      </c>
      <c r="M8" s="32" t="b">
        <v>1</v>
      </c>
      <c r="N8" s="32" t="b">
        <v>0</v>
      </c>
      <c r="O8" s="30">
        <v>0</v>
      </c>
      <c r="P8" s="30" t="s">
        <v>30</v>
      </c>
      <c r="Q8" s="30" t="s">
        <v>90</v>
      </c>
      <c r="R8" s="30" t="s">
        <v>72</v>
      </c>
      <c r="S8" s="30" t="s">
        <v>32</v>
      </c>
      <c r="T8" s="72" t="s">
        <v>33</v>
      </c>
      <c r="U8" s="72" t="s">
        <v>33</v>
      </c>
      <c r="V8" s="72" t="s">
        <v>91</v>
      </c>
      <c r="W8" s="30" t="s">
        <v>11</v>
      </c>
      <c r="X8" s="30" t="s">
        <v>82</v>
      </c>
      <c r="Y8" s="73" t="s">
        <v>92</v>
      </c>
    </row>
    <row r="9" spans="1:25" x14ac:dyDescent="0.2">
      <c r="A9" s="74">
        <v>8</v>
      </c>
      <c r="B9" s="21" t="s">
        <v>93</v>
      </c>
      <c r="C9" s="21" t="s">
        <v>94</v>
      </c>
      <c r="D9" s="21" t="s">
        <v>95</v>
      </c>
      <c r="E9" s="21" t="s">
        <v>96</v>
      </c>
      <c r="F9" s="21">
        <v>0</v>
      </c>
      <c r="G9" s="21">
        <v>300</v>
      </c>
      <c r="H9" s="21">
        <v>0</v>
      </c>
      <c r="I9" s="75">
        <v>10</v>
      </c>
      <c r="J9" s="21" t="s">
        <v>97</v>
      </c>
      <c r="L9" s="21" t="s">
        <v>98</v>
      </c>
      <c r="M9" s="76" t="b">
        <v>1</v>
      </c>
      <c r="N9" s="76" t="b">
        <v>1</v>
      </c>
      <c r="O9" s="21">
        <v>0</v>
      </c>
      <c r="P9" s="21" t="s">
        <v>30</v>
      </c>
      <c r="Q9" s="21" t="s">
        <v>99</v>
      </c>
      <c r="R9" s="21" t="s">
        <v>72</v>
      </c>
      <c r="S9" s="21" t="s">
        <v>32</v>
      </c>
      <c r="T9" s="77" t="s">
        <v>33</v>
      </c>
      <c r="U9" s="77" t="s">
        <v>33</v>
      </c>
      <c r="V9" s="77" t="s">
        <v>100</v>
      </c>
      <c r="W9" s="21" t="s">
        <v>11</v>
      </c>
      <c r="X9" s="21" t="s">
        <v>101</v>
      </c>
      <c r="Y9" s="78" t="s">
        <v>102</v>
      </c>
    </row>
    <row r="10" spans="1:25" x14ac:dyDescent="0.2">
      <c r="A10" s="70">
        <v>9</v>
      </c>
      <c r="B10" s="30" t="s">
        <v>103</v>
      </c>
      <c r="C10" s="30" t="s">
        <v>104</v>
      </c>
      <c r="D10" s="30" t="s">
        <v>105</v>
      </c>
      <c r="E10" s="30" t="s">
        <v>106</v>
      </c>
      <c r="F10" s="30">
        <v>150</v>
      </c>
      <c r="G10" s="30">
        <v>300</v>
      </c>
      <c r="H10" s="30">
        <v>30</v>
      </c>
      <c r="I10" s="71">
        <v>5</v>
      </c>
      <c r="J10" s="30" t="s">
        <v>107</v>
      </c>
      <c r="L10" s="30" t="s">
        <v>108</v>
      </c>
      <c r="M10" s="32" t="b">
        <v>0</v>
      </c>
      <c r="N10" s="32" t="b">
        <v>0</v>
      </c>
      <c r="O10" s="30">
        <v>0</v>
      </c>
      <c r="P10" s="30" t="s">
        <v>30</v>
      </c>
      <c r="Q10" s="30" t="s">
        <v>109</v>
      </c>
      <c r="R10" s="30" t="s">
        <v>72</v>
      </c>
      <c r="S10" s="30" t="s">
        <v>32</v>
      </c>
      <c r="T10" s="72" t="s">
        <v>33</v>
      </c>
      <c r="U10" s="72" t="s">
        <v>33</v>
      </c>
      <c r="V10" s="72" t="s">
        <v>110</v>
      </c>
      <c r="W10" s="30" t="s">
        <v>111</v>
      </c>
      <c r="X10" s="30" t="s">
        <v>112</v>
      </c>
      <c r="Y10" s="73" t="s">
        <v>113</v>
      </c>
    </row>
    <row r="11" spans="1:25" x14ac:dyDescent="0.2">
      <c r="A11" s="74">
        <v>10</v>
      </c>
      <c r="B11" s="21" t="s">
        <v>114</v>
      </c>
      <c r="C11" s="21" t="s">
        <v>115</v>
      </c>
      <c r="D11" s="21" t="s">
        <v>27</v>
      </c>
      <c r="E11" s="21" t="s">
        <v>116</v>
      </c>
      <c r="F11" s="21">
        <v>200</v>
      </c>
      <c r="G11" s="21">
        <v>300</v>
      </c>
      <c r="H11" s="21">
        <v>20</v>
      </c>
      <c r="I11" s="75">
        <v>5</v>
      </c>
      <c r="J11" s="21" t="s">
        <v>117</v>
      </c>
      <c r="M11" s="76" t="b">
        <v>0</v>
      </c>
      <c r="N11" s="76" t="b">
        <v>0</v>
      </c>
      <c r="O11" s="21">
        <v>0</v>
      </c>
      <c r="P11" s="21" t="s">
        <v>30</v>
      </c>
      <c r="R11" s="21" t="s">
        <v>31</v>
      </c>
      <c r="S11" s="21" t="s">
        <v>32</v>
      </c>
      <c r="T11" s="77" t="s">
        <v>33</v>
      </c>
      <c r="U11" s="77" t="s">
        <v>33</v>
      </c>
      <c r="V11" s="77" t="s">
        <v>118</v>
      </c>
      <c r="W11" s="21" t="s">
        <v>35</v>
      </c>
      <c r="X11" s="21" t="s">
        <v>101</v>
      </c>
      <c r="Y11" s="78" t="s">
        <v>119</v>
      </c>
    </row>
    <row r="12" spans="1:25" x14ac:dyDescent="0.2">
      <c r="A12" s="70">
        <v>11</v>
      </c>
      <c r="B12" s="30" t="s">
        <v>120</v>
      </c>
      <c r="C12" s="30" t="s">
        <v>121</v>
      </c>
      <c r="D12" s="30" t="s">
        <v>40</v>
      </c>
      <c r="E12" s="30" t="s">
        <v>41</v>
      </c>
      <c r="F12" s="30">
        <v>125</v>
      </c>
      <c r="G12" s="30">
        <v>300</v>
      </c>
      <c r="H12" s="30">
        <v>0</v>
      </c>
      <c r="I12" s="71">
        <v>10</v>
      </c>
      <c r="J12" s="30" t="s">
        <v>42</v>
      </c>
      <c r="M12" s="32" t="b">
        <v>0</v>
      </c>
      <c r="N12" s="32" t="b">
        <v>0</v>
      </c>
      <c r="O12" s="30">
        <v>100</v>
      </c>
      <c r="P12" s="30" t="s">
        <v>122</v>
      </c>
      <c r="R12" s="30" t="s">
        <v>43</v>
      </c>
      <c r="S12" s="30" t="s">
        <v>32</v>
      </c>
      <c r="T12" s="72" t="s">
        <v>33</v>
      </c>
      <c r="U12" s="72" t="s">
        <v>33</v>
      </c>
      <c r="V12" s="72" t="s">
        <v>123</v>
      </c>
      <c r="W12" s="30" t="s">
        <v>45</v>
      </c>
      <c r="X12" s="30" t="s">
        <v>101</v>
      </c>
      <c r="Y12" s="73" t="s">
        <v>124</v>
      </c>
    </row>
    <row r="13" spans="1:25" x14ac:dyDescent="0.2">
      <c r="A13" s="74">
        <v>12</v>
      </c>
      <c r="B13" s="21" t="s">
        <v>125</v>
      </c>
      <c r="C13" s="21" t="s">
        <v>126</v>
      </c>
      <c r="D13" s="21" t="s">
        <v>68</v>
      </c>
      <c r="E13" s="21" t="s">
        <v>127</v>
      </c>
      <c r="F13" s="21">
        <v>100</v>
      </c>
      <c r="G13" s="21">
        <v>300</v>
      </c>
      <c r="H13" s="21">
        <v>30</v>
      </c>
      <c r="I13" s="75">
        <v>5</v>
      </c>
      <c r="J13" s="21" t="s">
        <v>128</v>
      </c>
      <c r="M13" s="76" t="b">
        <v>0</v>
      </c>
      <c r="N13" s="76" t="b">
        <v>0</v>
      </c>
      <c r="O13" s="21">
        <v>0</v>
      </c>
      <c r="P13" s="21" t="s">
        <v>30</v>
      </c>
      <c r="Q13" s="21" t="s">
        <v>129</v>
      </c>
      <c r="R13" s="21" t="s">
        <v>130</v>
      </c>
      <c r="S13" s="21" t="s">
        <v>32</v>
      </c>
      <c r="T13" s="77" t="s">
        <v>33</v>
      </c>
      <c r="U13" s="77" t="s">
        <v>33</v>
      </c>
      <c r="V13" s="77" t="s">
        <v>131</v>
      </c>
      <c r="W13" s="21" t="s">
        <v>35</v>
      </c>
      <c r="X13" s="21" t="s">
        <v>101</v>
      </c>
      <c r="Y13" s="78" t="s">
        <v>132</v>
      </c>
    </row>
    <row r="14" spans="1:25" x14ac:dyDescent="0.2">
      <c r="A14" s="70">
        <v>13</v>
      </c>
      <c r="B14" s="30" t="s">
        <v>133</v>
      </c>
      <c r="C14" s="30" t="s">
        <v>134</v>
      </c>
      <c r="D14" s="30" t="s">
        <v>135</v>
      </c>
      <c r="E14" s="30" t="s">
        <v>136</v>
      </c>
      <c r="F14" s="30">
        <v>150</v>
      </c>
      <c r="G14" s="30">
        <v>300</v>
      </c>
      <c r="H14" s="30">
        <v>30</v>
      </c>
      <c r="I14" s="71">
        <v>5</v>
      </c>
      <c r="J14" s="30" t="s">
        <v>137</v>
      </c>
      <c r="K14" s="30" t="s">
        <v>138</v>
      </c>
      <c r="M14" s="32" t="b">
        <v>0</v>
      </c>
      <c r="N14" s="32" t="b">
        <v>0</v>
      </c>
      <c r="O14" s="30">
        <v>0</v>
      </c>
      <c r="P14" s="30" t="s">
        <v>30</v>
      </c>
      <c r="Q14" s="30" t="s">
        <v>139</v>
      </c>
      <c r="R14" s="30" t="s">
        <v>43</v>
      </c>
      <c r="S14" s="30" t="s">
        <v>32</v>
      </c>
      <c r="T14" s="72" t="s">
        <v>33</v>
      </c>
      <c r="U14" s="72" t="s">
        <v>33</v>
      </c>
      <c r="V14" s="72" t="s">
        <v>140</v>
      </c>
      <c r="W14" s="30" t="s">
        <v>111</v>
      </c>
      <c r="X14" s="30" t="s">
        <v>141</v>
      </c>
      <c r="Y14" s="73" t="s">
        <v>142</v>
      </c>
    </row>
    <row r="15" spans="1:25" x14ac:dyDescent="0.2">
      <c r="A15" s="74">
        <v>14</v>
      </c>
      <c r="B15" s="21" t="s">
        <v>143</v>
      </c>
      <c r="C15" s="21" t="s">
        <v>144</v>
      </c>
      <c r="D15" s="21" t="s">
        <v>78</v>
      </c>
      <c r="E15" s="21" t="s">
        <v>145</v>
      </c>
      <c r="F15" s="21">
        <v>100</v>
      </c>
      <c r="G15" s="21">
        <v>300</v>
      </c>
      <c r="H15" s="21">
        <v>10</v>
      </c>
      <c r="I15" s="75">
        <v>5</v>
      </c>
      <c r="J15" s="21" t="s">
        <v>146</v>
      </c>
      <c r="L15" s="21" t="s">
        <v>147</v>
      </c>
      <c r="M15" s="76" t="b">
        <v>0</v>
      </c>
      <c r="N15" s="76" t="b">
        <v>0</v>
      </c>
      <c r="O15" s="21">
        <v>0</v>
      </c>
      <c r="P15" s="21" t="s">
        <v>30</v>
      </c>
      <c r="Q15" s="21" t="s">
        <v>148</v>
      </c>
      <c r="R15" s="21" t="s">
        <v>62</v>
      </c>
      <c r="S15" s="21" t="s">
        <v>32</v>
      </c>
      <c r="T15" s="77" t="s">
        <v>33</v>
      </c>
      <c r="U15" s="77" t="s">
        <v>33</v>
      </c>
      <c r="V15" s="77" t="s">
        <v>149</v>
      </c>
      <c r="W15" s="21" t="s">
        <v>11</v>
      </c>
      <c r="X15" s="21" t="s">
        <v>64</v>
      </c>
      <c r="Y15" s="78" t="s">
        <v>150</v>
      </c>
    </row>
    <row r="16" spans="1:25" x14ac:dyDescent="0.2">
      <c r="A16" s="70">
        <v>15</v>
      </c>
      <c r="B16" s="30" t="s">
        <v>151</v>
      </c>
      <c r="C16" s="30" t="s">
        <v>152</v>
      </c>
      <c r="D16" s="30" t="s">
        <v>95</v>
      </c>
      <c r="E16" s="30" t="s">
        <v>153</v>
      </c>
      <c r="F16" s="30">
        <v>50</v>
      </c>
      <c r="G16" s="30">
        <v>300</v>
      </c>
      <c r="H16" s="30">
        <v>0</v>
      </c>
      <c r="I16" s="71">
        <v>20</v>
      </c>
      <c r="J16" s="30" t="s">
        <v>154</v>
      </c>
      <c r="K16" s="30" t="s">
        <v>155</v>
      </c>
      <c r="L16" s="30" t="s">
        <v>156</v>
      </c>
      <c r="M16" s="32" t="b">
        <v>0</v>
      </c>
      <c r="N16" s="32" t="b">
        <v>0</v>
      </c>
      <c r="O16" s="30">
        <v>0</v>
      </c>
      <c r="P16" s="30" t="s">
        <v>30</v>
      </c>
      <c r="Q16" s="30" t="s">
        <v>157</v>
      </c>
      <c r="R16" s="30" t="s">
        <v>158</v>
      </c>
      <c r="S16" s="30" t="s">
        <v>32</v>
      </c>
      <c r="T16" s="72" t="s">
        <v>33</v>
      </c>
      <c r="U16" s="72" t="s">
        <v>33</v>
      </c>
      <c r="V16" s="72" t="s">
        <v>159</v>
      </c>
      <c r="W16" s="30" t="s">
        <v>11</v>
      </c>
      <c r="X16" s="30" t="s">
        <v>82</v>
      </c>
      <c r="Y16" s="73" t="s">
        <v>160</v>
      </c>
    </row>
    <row r="17" spans="1:25" x14ac:dyDescent="0.2">
      <c r="A17" s="74">
        <v>16</v>
      </c>
      <c r="B17" s="21" t="s">
        <v>161</v>
      </c>
      <c r="C17" s="21" t="s">
        <v>162</v>
      </c>
      <c r="D17" s="21" t="s">
        <v>68</v>
      </c>
      <c r="E17" s="21" t="s">
        <v>163</v>
      </c>
      <c r="F17" s="21">
        <v>400</v>
      </c>
      <c r="G17" s="21">
        <v>300</v>
      </c>
      <c r="H17" s="21">
        <v>900</v>
      </c>
      <c r="I17" s="75">
        <v>5</v>
      </c>
      <c r="J17" s="21" t="s">
        <v>164</v>
      </c>
      <c r="L17" s="21" t="s">
        <v>165</v>
      </c>
      <c r="M17" s="76" t="b">
        <v>0</v>
      </c>
      <c r="N17" s="76" t="b">
        <v>0</v>
      </c>
      <c r="O17" s="21">
        <v>0</v>
      </c>
      <c r="P17" s="21" t="s">
        <v>30</v>
      </c>
      <c r="Q17" s="21" t="s">
        <v>166</v>
      </c>
      <c r="R17" s="21" t="s">
        <v>130</v>
      </c>
      <c r="S17" s="21" t="s">
        <v>32</v>
      </c>
      <c r="T17" s="77" t="s">
        <v>33</v>
      </c>
      <c r="U17" s="77" t="s">
        <v>33</v>
      </c>
      <c r="V17" s="77" t="s">
        <v>167</v>
      </c>
      <c r="W17" s="21" t="s">
        <v>35</v>
      </c>
      <c r="X17" s="21" t="s">
        <v>168</v>
      </c>
      <c r="Y17" s="78" t="s">
        <v>169</v>
      </c>
    </row>
    <row r="18" spans="1:25" x14ac:dyDescent="0.2">
      <c r="A18" s="70">
        <v>17</v>
      </c>
      <c r="B18" s="30" t="s">
        <v>170</v>
      </c>
      <c r="C18" s="30" t="s">
        <v>171</v>
      </c>
      <c r="D18" s="30" t="s">
        <v>27</v>
      </c>
      <c r="E18" s="30" t="s">
        <v>172</v>
      </c>
      <c r="F18" s="30">
        <v>300</v>
      </c>
      <c r="G18" s="30">
        <v>300</v>
      </c>
      <c r="H18" s="30">
        <v>20</v>
      </c>
      <c r="I18" s="71">
        <v>5</v>
      </c>
      <c r="J18" s="30" t="s">
        <v>173</v>
      </c>
      <c r="M18" s="32" t="b">
        <v>0</v>
      </c>
      <c r="N18" s="32" t="b">
        <v>0</v>
      </c>
      <c r="O18" s="30">
        <v>0</v>
      </c>
      <c r="P18" s="30" t="s">
        <v>122</v>
      </c>
      <c r="R18" s="30" t="s">
        <v>31</v>
      </c>
      <c r="S18" s="30" t="s">
        <v>32</v>
      </c>
      <c r="T18" s="72" t="s">
        <v>33</v>
      </c>
      <c r="U18" s="72" t="s">
        <v>33</v>
      </c>
      <c r="V18" s="72" t="s">
        <v>174</v>
      </c>
      <c r="W18" s="30" t="s">
        <v>35</v>
      </c>
      <c r="X18" s="30" t="s">
        <v>101</v>
      </c>
      <c r="Y18" s="73" t="s">
        <v>175</v>
      </c>
    </row>
    <row r="19" spans="1:25" x14ac:dyDescent="0.2">
      <c r="A19" s="74">
        <v>18</v>
      </c>
      <c r="B19" s="21" t="s">
        <v>176</v>
      </c>
      <c r="C19" s="21" t="s">
        <v>177</v>
      </c>
      <c r="D19" s="21" t="s">
        <v>78</v>
      </c>
      <c r="E19" s="21" t="s">
        <v>178</v>
      </c>
      <c r="F19" s="21">
        <v>250</v>
      </c>
      <c r="G19" s="21">
        <v>300</v>
      </c>
      <c r="H19" s="21">
        <v>20</v>
      </c>
      <c r="I19" s="75">
        <v>5</v>
      </c>
      <c r="J19" s="21" t="s">
        <v>179</v>
      </c>
      <c r="L19" s="21" t="s">
        <v>147</v>
      </c>
      <c r="M19" s="76" t="b">
        <v>0</v>
      </c>
      <c r="N19" s="76" t="b">
        <v>0</v>
      </c>
      <c r="O19" s="21">
        <v>0</v>
      </c>
      <c r="P19" s="21" t="s">
        <v>180</v>
      </c>
      <c r="Q19" s="21" t="s">
        <v>148</v>
      </c>
      <c r="R19" s="21" t="s">
        <v>62</v>
      </c>
      <c r="S19" s="21" t="s">
        <v>32</v>
      </c>
      <c r="T19" s="77" t="s">
        <v>33</v>
      </c>
      <c r="U19" s="77" t="s">
        <v>33</v>
      </c>
      <c r="V19" s="77" t="s">
        <v>181</v>
      </c>
      <c r="W19" s="21" t="s">
        <v>11</v>
      </c>
      <c r="X19" s="21" t="s">
        <v>182</v>
      </c>
      <c r="Y19" s="78" t="s">
        <v>183</v>
      </c>
    </row>
    <row r="20" spans="1:25" x14ac:dyDescent="0.2">
      <c r="A20" s="70">
        <v>19</v>
      </c>
      <c r="B20" s="30" t="s">
        <v>184</v>
      </c>
      <c r="C20" s="30" t="s">
        <v>185</v>
      </c>
      <c r="D20" s="30" t="s">
        <v>59</v>
      </c>
      <c r="E20" s="30" t="s">
        <v>186</v>
      </c>
      <c r="F20" s="30">
        <v>150</v>
      </c>
      <c r="G20" s="30">
        <v>1</v>
      </c>
      <c r="H20" s="30">
        <v>1800</v>
      </c>
      <c r="I20" s="71">
        <v>35</v>
      </c>
      <c r="J20" s="30" t="s">
        <v>97</v>
      </c>
      <c r="M20" s="32" t="b">
        <v>0</v>
      </c>
      <c r="N20" s="32" t="b">
        <v>0</v>
      </c>
      <c r="O20" s="30">
        <v>0</v>
      </c>
      <c r="P20" s="30" t="s">
        <v>30</v>
      </c>
      <c r="Q20" s="30" t="s">
        <v>166</v>
      </c>
      <c r="R20" s="30" t="s">
        <v>187</v>
      </c>
      <c r="S20" s="30" t="s">
        <v>32</v>
      </c>
      <c r="T20" s="72" t="s">
        <v>33</v>
      </c>
      <c r="U20" s="72" t="s">
        <v>33</v>
      </c>
      <c r="V20" s="72" t="s">
        <v>188</v>
      </c>
      <c r="W20" s="30" t="s">
        <v>11</v>
      </c>
      <c r="X20" s="30" t="s">
        <v>189</v>
      </c>
      <c r="Y20" s="73" t="s">
        <v>190</v>
      </c>
    </row>
    <row r="21" spans="1:25" x14ac:dyDescent="0.2">
      <c r="A21" s="74">
        <v>20</v>
      </c>
      <c r="B21" s="21" t="s">
        <v>191</v>
      </c>
      <c r="C21" s="21" t="s">
        <v>192</v>
      </c>
      <c r="D21" s="21" t="s">
        <v>27</v>
      </c>
      <c r="E21" s="21" t="s">
        <v>193</v>
      </c>
      <c r="F21" s="21">
        <v>125</v>
      </c>
      <c r="G21" s="21">
        <v>300</v>
      </c>
      <c r="H21" s="21">
        <v>20</v>
      </c>
      <c r="I21" s="75">
        <v>5</v>
      </c>
      <c r="J21" s="21" t="s">
        <v>194</v>
      </c>
      <c r="M21" s="76" t="b">
        <v>0</v>
      </c>
      <c r="N21" s="76" t="b">
        <v>0</v>
      </c>
      <c r="O21" s="21">
        <v>0</v>
      </c>
      <c r="P21" s="21" t="s">
        <v>30</v>
      </c>
      <c r="Q21" s="21" t="s">
        <v>109</v>
      </c>
      <c r="R21" s="21" t="s">
        <v>31</v>
      </c>
      <c r="S21" s="21" t="s">
        <v>32</v>
      </c>
      <c r="T21" s="77" t="s">
        <v>33</v>
      </c>
      <c r="U21" s="77" t="s">
        <v>33</v>
      </c>
      <c r="V21" s="77" t="s">
        <v>195</v>
      </c>
      <c r="W21" s="21" t="s">
        <v>35</v>
      </c>
      <c r="X21" s="21" t="s">
        <v>101</v>
      </c>
      <c r="Y21" s="78" t="s">
        <v>196</v>
      </c>
    </row>
    <row r="22" spans="1:25" x14ac:dyDescent="0.2">
      <c r="A22" s="70">
        <v>21</v>
      </c>
      <c r="B22" s="30" t="s">
        <v>197</v>
      </c>
      <c r="C22" s="30" t="s">
        <v>198</v>
      </c>
      <c r="D22" s="30" t="s">
        <v>199</v>
      </c>
      <c r="E22" s="30" t="s">
        <v>200</v>
      </c>
      <c r="F22" s="30">
        <v>50</v>
      </c>
      <c r="G22" s="30">
        <v>300</v>
      </c>
      <c r="H22" s="30">
        <v>0</v>
      </c>
      <c r="I22" s="71">
        <v>20</v>
      </c>
      <c r="J22" s="30" t="s">
        <v>201</v>
      </c>
      <c r="L22" s="30" t="s">
        <v>202</v>
      </c>
      <c r="M22" s="32" t="b">
        <v>1</v>
      </c>
      <c r="N22" s="32" t="b">
        <v>0</v>
      </c>
      <c r="O22" s="30">
        <v>0</v>
      </c>
      <c r="P22" s="30" t="s">
        <v>30</v>
      </c>
      <c r="Q22" s="30" t="s">
        <v>203</v>
      </c>
      <c r="R22" s="30" t="s">
        <v>158</v>
      </c>
      <c r="S22" s="30" t="s">
        <v>32</v>
      </c>
      <c r="T22" s="72" t="s">
        <v>33</v>
      </c>
      <c r="U22" s="72" t="s">
        <v>33</v>
      </c>
      <c r="V22" s="72" t="s">
        <v>204</v>
      </c>
      <c r="W22" s="30" t="s">
        <v>11</v>
      </c>
      <c r="X22" s="30" t="s">
        <v>205</v>
      </c>
      <c r="Y22" s="73" t="s">
        <v>206</v>
      </c>
    </row>
    <row r="23" spans="1:25" x14ac:dyDescent="0.2">
      <c r="A23" s="74">
        <v>22</v>
      </c>
      <c r="B23" s="21" t="s">
        <v>207</v>
      </c>
      <c r="C23" s="21" t="s">
        <v>208</v>
      </c>
      <c r="D23" s="21" t="s">
        <v>27</v>
      </c>
      <c r="E23" s="21" t="s">
        <v>209</v>
      </c>
      <c r="F23" s="21">
        <v>125</v>
      </c>
      <c r="G23" s="21">
        <v>300</v>
      </c>
      <c r="H23" s="21">
        <v>20</v>
      </c>
      <c r="I23" s="75">
        <v>5</v>
      </c>
      <c r="J23" s="21" t="s">
        <v>210</v>
      </c>
      <c r="L23" s="21" t="s">
        <v>211</v>
      </c>
      <c r="M23" s="76" t="b">
        <v>0</v>
      </c>
      <c r="N23" s="76" t="b">
        <v>0</v>
      </c>
      <c r="O23" s="21">
        <v>0</v>
      </c>
      <c r="P23" s="21" t="s">
        <v>122</v>
      </c>
      <c r="R23" s="21" t="s">
        <v>31</v>
      </c>
      <c r="S23" s="21" t="s">
        <v>32</v>
      </c>
      <c r="T23" s="77" t="s">
        <v>33</v>
      </c>
      <c r="U23" s="77" t="s">
        <v>33</v>
      </c>
      <c r="V23" s="77" t="s">
        <v>212</v>
      </c>
      <c r="W23" s="21" t="s">
        <v>35</v>
      </c>
      <c r="X23" s="21" t="s">
        <v>82</v>
      </c>
      <c r="Y23" s="78" t="s">
        <v>213</v>
      </c>
    </row>
    <row r="24" spans="1:25" x14ac:dyDescent="0.2">
      <c r="A24" s="70">
        <v>23</v>
      </c>
      <c r="B24" s="30" t="s">
        <v>214</v>
      </c>
      <c r="C24" s="30" t="s">
        <v>215</v>
      </c>
      <c r="D24" s="30" t="s">
        <v>216</v>
      </c>
      <c r="E24" s="30" t="s">
        <v>217</v>
      </c>
      <c r="F24" s="30">
        <v>125</v>
      </c>
      <c r="G24" s="30">
        <v>300</v>
      </c>
      <c r="H24" s="30">
        <v>10</v>
      </c>
      <c r="I24" s="71">
        <v>5</v>
      </c>
      <c r="J24" s="30" t="s">
        <v>218</v>
      </c>
      <c r="M24" s="32" t="b">
        <v>0</v>
      </c>
      <c r="N24" s="32" t="b">
        <v>0</v>
      </c>
      <c r="O24" s="30">
        <v>0</v>
      </c>
      <c r="P24" s="30" t="s">
        <v>30</v>
      </c>
      <c r="Q24" s="30" t="s">
        <v>219</v>
      </c>
      <c r="R24" s="30" t="s">
        <v>72</v>
      </c>
      <c r="S24" s="30" t="s">
        <v>32</v>
      </c>
      <c r="T24" s="72" t="s">
        <v>33</v>
      </c>
      <c r="U24" s="72" t="s">
        <v>33</v>
      </c>
      <c r="V24" s="72" t="s">
        <v>220</v>
      </c>
      <c r="W24" s="30" t="s">
        <v>35</v>
      </c>
      <c r="X24" s="30" t="s">
        <v>112</v>
      </c>
      <c r="Y24" s="73" t="s">
        <v>221</v>
      </c>
    </row>
    <row r="25" spans="1:25" x14ac:dyDescent="0.2">
      <c r="A25" s="74">
        <v>24</v>
      </c>
      <c r="B25" s="21" t="s">
        <v>222</v>
      </c>
      <c r="C25" s="21" t="s">
        <v>223</v>
      </c>
      <c r="D25" s="21" t="s">
        <v>68</v>
      </c>
      <c r="E25" s="21" t="s">
        <v>224</v>
      </c>
      <c r="F25" s="21">
        <v>325</v>
      </c>
      <c r="G25" s="21">
        <v>300</v>
      </c>
      <c r="H25" s="21">
        <v>80</v>
      </c>
      <c r="I25" s="75">
        <v>5</v>
      </c>
      <c r="J25" s="21" t="s">
        <v>225</v>
      </c>
      <c r="M25" s="76" t="b">
        <v>0</v>
      </c>
      <c r="N25" s="76" t="b">
        <v>0</v>
      </c>
      <c r="O25" s="21">
        <v>0</v>
      </c>
      <c r="P25" s="21" t="s">
        <v>30</v>
      </c>
      <c r="Q25" s="21" t="s">
        <v>226</v>
      </c>
      <c r="R25" s="21" t="s">
        <v>130</v>
      </c>
      <c r="S25" s="21" t="s">
        <v>32</v>
      </c>
      <c r="T25" s="77" t="s">
        <v>33</v>
      </c>
      <c r="U25" s="77" t="s">
        <v>33</v>
      </c>
      <c r="V25" s="77" t="s">
        <v>227</v>
      </c>
      <c r="W25" s="21" t="s">
        <v>35</v>
      </c>
      <c r="X25" s="21" t="s">
        <v>101</v>
      </c>
      <c r="Y25" s="78" t="s">
        <v>228</v>
      </c>
    </row>
    <row r="26" spans="1:25" x14ac:dyDescent="0.2">
      <c r="A26" s="70">
        <v>25</v>
      </c>
      <c r="B26" s="30" t="s">
        <v>229</v>
      </c>
      <c r="C26" s="30" t="s">
        <v>230</v>
      </c>
      <c r="D26" s="30" t="s">
        <v>49</v>
      </c>
      <c r="E26" s="30" t="s">
        <v>231</v>
      </c>
      <c r="F26" s="30">
        <v>125</v>
      </c>
      <c r="G26" s="30">
        <v>8000</v>
      </c>
      <c r="H26" s="30">
        <v>0</v>
      </c>
      <c r="I26" s="71">
        <v>20</v>
      </c>
      <c r="J26" s="30" t="s">
        <v>232</v>
      </c>
      <c r="L26" s="30" t="s">
        <v>233</v>
      </c>
      <c r="M26" s="32" t="b">
        <v>0</v>
      </c>
      <c r="N26" s="32" t="b">
        <v>0</v>
      </c>
      <c r="O26" s="30">
        <v>0</v>
      </c>
      <c r="P26" s="30" t="s">
        <v>30</v>
      </c>
      <c r="R26" s="30" t="s">
        <v>52</v>
      </c>
      <c r="S26" s="30" t="s">
        <v>32</v>
      </c>
      <c r="T26" s="72" t="s">
        <v>33</v>
      </c>
      <c r="U26" s="72" t="s">
        <v>33</v>
      </c>
      <c r="V26" s="72" t="s">
        <v>234</v>
      </c>
      <c r="W26" s="30" t="s">
        <v>54</v>
      </c>
      <c r="X26" s="30" t="s">
        <v>101</v>
      </c>
      <c r="Y26" s="73" t="s">
        <v>235</v>
      </c>
    </row>
    <row r="27" spans="1:25" x14ac:dyDescent="0.2">
      <c r="A27" s="74">
        <v>26</v>
      </c>
      <c r="B27" s="21" t="s">
        <v>236</v>
      </c>
      <c r="C27" s="21" t="s">
        <v>237</v>
      </c>
      <c r="D27" s="21" t="s">
        <v>86</v>
      </c>
      <c r="E27" s="21" t="s">
        <v>238</v>
      </c>
      <c r="F27" s="21">
        <v>500</v>
      </c>
      <c r="G27" s="21">
        <v>300</v>
      </c>
      <c r="H27" s="21">
        <v>80</v>
      </c>
      <c r="I27" s="75">
        <v>5</v>
      </c>
      <c r="J27" s="21" t="s">
        <v>239</v>
      </c>
      <c r="M27" s="76" t="b">
        <v>0</v>
      </c>
      <c r="N27" s="76" t="b">
        <v>0</v>
      </c>
      <c r="O27" s="21">
        <v>0</v>
      </c>
      <c r="P27" s="21" t="s">
        <v>122</v>
      </c>
      <c r="Q27" s="21" t="s">
        <v>240</v>
      </c>
      <c r="R27" s="21" t="s">
        <v>130</v>
      </c>
      <c r="S27" s="21" t="s">
        <v>32</v>
      </c>
      <c r="T27" s="77" t="s">
        <v>33</v>
      </c>
      <c r="U27" s="77" t="s">
        <v>33</v>
      </c>
      <c r="V27" s="77" t="s">
        <v>241</v>
      </c>
      <c r="W27" s="21" t="s">
        <v>35</v>
      </c>
      <c r="X27" s="21" t="s">
        <v>101</v>
      </c>
      <c r="Y27" s="78" t="s">
        <v>242</v>
      </c>
    </row>
    <row r="28" spans="1:25" x14ac:dyDescent="0.2">
      <c r="A28" s="70">
        <v>27</v>
      </c>
      <c r="B28" s="30" t="s">
        <v>243</v>
      </c>
      <c r="C28" s="30" t="s">
        <v>244</v>
      </c>
      <c r="D28" s="30" t="s">
        <v>135</v>
      </c>
      <c r="E28" s="30" t="s">
        <v>245</v>
      </c>
      <c r="F28" s="30">
        <v>0</v>
      </c>
      <c r="G28" s="30">
        <v>300</v>
      </c>
      <c r="H28" s="30">
        <v>0</v>
      </c>
      <c r="I28" s="71">
        <v>10</v>
      </c>
      <c r="J28" s="30" t="s">
        <v>97</v>
      </c>
      <c r="L28" s="30" t="s">
        <v>246</v>
      </c>
      <c r="M28" s="32" t="b">
        <v>1</v>
      </c>
      <c r="N28" s="32" t="b">
        <v>0</v>
      </c>
      <c r="O28" s="30">
        <v>0</v>
      </c>
      <c r="P28" s="30" t="s">
        <v>30</v>
      </c>
      <c r="Q28" s="30" t="s">
        <v>247</v>
      </c>
      <c r="R28" s="30" t="s">
        <v>62</v>
      </c>
      <c r="S28" s="30" t="s">
        <v>32</v>
      </c>
      <c r="T28" s="72" t="s">
        <v>33</v>
      </c>
      <c r="U28" s="72" t="s">
        <v>33</v>
      </c>
      <c r="V28" s="72" t="s">
        <v>248</v>
      </c>
      <c r="W28" s="30" t="s">
        <v>11</v>
      </c>
      <c r="X28" s="30" t="s">
        <v>168</v>
      </c>
      <c r="Y28" s="73" t="s">
        <v>249</v>
      </c>
    </row>
    <row r="29" spans="1:25" x14ac:dyDescent="0.2">
      <c r="A29" s="74">
        <v>28</v>
      </c>
      <c r="B29" s="21" t="s">
        <v>250</v>
      </c>
      <c r="C29" s="21" t="s">
        <v>251</v>
      </c>
      <c r="D29" s="21" t="s">
        <v>135</v>
      </c>
      <c r="E29" s="21" t="s">
        <v>252</v>
      </c>
      <c r="F29" s="21">
        <v>200</v>
      </c>
      <c r="G29" s="21">
        <v>300</v>
      </c>
      <c r="H29" s="21">
        <v>50</v>
      </c>
      <c r="I29" s="75">
        <v>20</v>
      </c>
      <c r="J29" s="21" t="s">
        <v>253</v>
      </c>
      <c r="L29" s="21" t="s">
        <v>254</v>
      </c>
      <c r="M29" s="76" t="b">
        <v>0</v>
      </c>
      <c r="N29" s="76" t="b">
        <v>0</v>
      </c>
      <c r="O29" s="21">
        <v>0</v>
      </c>
      <c r="P29" s="21" t="s">
        <v>30</v>
      </c>
      <c r="R29" s="21" t="s">
        <v>130</v>
      </c>
      <c r="S29" s="21" t="s">
        <v>32</v>
      </c>
      <c r="T29" s="77" t="s">
        <v>33</v>
      </c>
      <c r="U29" s="77" t="s">
        <v>33</v>
      </c>
      <c r="V29" s="77" t="s">
        <v>255</v>
      </c>
      <c r="W29" s="21" t="s">
        <v>35</v>
      </c>
      <c r="X29" s="21" t="s">
        <v>168</v>
      </c>
      <c r="Y29" s="78" t="s">
        <v>256</v>
      </c>
    </row>
    <row r="30" spans="1:25" x14ac:dyDescent="0.2">
      <c r="A30" s="70">
        <v>29</v>
      </c>
      <c r="B30" s="30" t="s">
        <v>257</v>
      </c>
      <c r="C30" s="30" t="s">
        <v>258</v>
      </c>
      <c r="D30" s="30" t="s">
        <v>49</v>
      </c>
      <c r="E30" s="30" t="s">
        <v>259</v>
      </c>
      <c r="F30" s="30">
        <v>75</v>
      </c>
      <c r="G30" s="30">
        <v>1500</v>
      </c>
      <c r="H30" s="30">
        <v>0</v>
      </c>
      <c r="I30" s="71">
        <v>15</v>
      </c>
      <c r="J30" s="30" t="s">
        <v>260</v>
      </c>
      <c r="M30" s="32" t="b">
        <v>0</v>
      </c>
      <c r="N30" s="32" t="b">
        <v>0</v>
      </c>
      <c r="O30" s="30">
        <v>0</v>
      </c>
      <c r="P30" s="30" t="s">
        <v>30</v>
      </c>
      <c r="Q30" s="30" t="s">
        <v>157</v>
      </c>
      <c r="R30" s="30" t="s">
        <v>72</v>
      </c>
      <c r="S30" s="30" t="s">
        <v>32</v>
      </c>
      <c r="T30" s="72" t="s">
        <v>33</v>
      </c>
      <c r="U30" s="72" t="s">
        <v>33</v>
      </c>
      <c r="V30" s="72" t="s">
        <v>261</v>
      </c>
      <c r="W30" s="30" t="s">
        <v>54</v>
      </c>
      <c r="X30" s="30" t="s">
        <v>168</v>
      </c>
      <c r="Y30" s="73" t="s">
        <v>262</v>
      </c>
    </row>
    <row r="31" spans="1:25" x14ac:dyDescent="0.2">
      <c r="A31" s="74">
        <v>30</v>
      </c>
      <c r="B31" s="21" t="s">
        <v>263</v>
      </c>
      <c r="C31" s="21" t="s">
        <v>264</v>
      </c>
      <c r="D31" s="21" t="s">
        <v>95</v>
      </c>
      <c r="E31" s="21" t="s">
        <v>265</v>
      </c>
      <c r="F31" s="21">
        <v>25</v>
      </c>
      <c r="G31" s="21">
        <v>300</v>
      </c>
      <c r="H31" s="21">
        <v>0</v>
      </c>
      <c r="I31" s="75">
        <v>20</v>
      </c>
      <c r="J31" s="21" t="s">
        <v>266</v>
      </c>
      <c r="L31" s="21" t="s">
        <v>267</v>
      </c>
      <c r="M31" s="76" t="b">
        <v>1</v>
      </c>
      <c r="N31" s="76" t="b">
        <v>0</v>
      </c>
      <c r="O31" s="21">
        <v>0</v>
      </c>
      <c r="P31" s="21" t="s">
        <v>268</v>
      </c>
      <c r="Q31" s="21" t="s">
        <v>269</v>
      </c>
      <c r="R31" s="21" t="s">
        <v>270</v>
      </c>
      <c r="S31" s="21" t="s">
        <v>32</v>
      </c>
      <c r="T31" s="77" t="s">
        <v>33</v>
      </c>
      <c r="U31" s="77" t="s">
        <v>33</v>
      </c>
      <c r="V31" s="77" t="s">
        <v>271</v>
      </c>
      <c r="W31" s="21" t="s">
        <v>11</v>
      </c>
      <c r="X31" s="21" t="s">
        <v>168</v>
      </c>
      <c r="Y31" s="78" t="s">
        <v>272</v>
      </c>
    </row>
    <row r="32" spans="1:25" x14ac:dyDescent="0.2">
      <c r="A32" s="70">
        <v>31</v>
      </c>
      <c r="B32" s="30" t="s">
        <v>273</v>
      </c>
      <c r="C32" s="30" t="s">
        <v>274</v>
      </c>
      <c r="D32" s="30" t="s">
        <v>27</v>
      </c>
      <c r="E32" s="30" t="s">
        <v>275</v>
      </c>
      <c r="F32" s="30">
        <v>150</v>
      </c>
      <c r="G32" s="30">
        <v>300</v>
      </c>
      <c r="H32" s="30">
        <v>10</v>
      </c>
      <c r="I32" s="71">
        <v>5</v>
      </c>
      <c r="J32" s="30" t="s">
        <v>276</v>
      </c>
      <c r="M32" s="32" t="b">
        <v>0</v>
      </c>
      <c r="N32" s="32" t="b">
        <v>0</v>
      </c>
      <c r="O32" s="30">
        <v>0</v>
      </c>
      <c r="P32" s="30" t="s">
        <v>30</v>
      </c>
      <c r="Q32" s="30" t="s">
        <v>277</v>
      </c>
      <c r="R32" s="30" t="s">
        <v>62</v>
      </c>
      <c r="S32" s="30" t="s">
        <v>32</v>
      </c>
      <c r="T32" s="72" t="s">
        <v>33</v>
      </c>
      <c r="U32" s="72" t="s">
        <v>33</v>
      </c>
      <c r="V32" s="72" t="s">
        <v>278</v>
      </c>
      <c r="W32" s="30" t="s">
        <v>35</v>
      </c>
      <c r="X32" s="30" t="s">
        <v>82</v>
      </c>
      <c r="Y32" s="73" t="s">
        <v>279</v>
      </c>
    </row>
    <row r="33" spans="1:25" x14ac:dyDescent="0.2">
      <c r="A33" s="74">
        <v>32</v>
      </c>
      <c r="B33" s="21" t="s">
        <v>280</v>
      </c>
      <c r="C33" s="21" t="s">
        <v>281</v>
      </c>
      <c r="D33" s="21" t="s">
        <v>27</v>
      </c>
      <c r="E33" s="21" t="s">
        <v>282</v>
      </c>
      <c r="F33" s="21">
        <v>150</v>
      </c>
      <c r="G33" s="21">
        <v>300</v>
      </c>
      <c r="H33" s="21">
        <v>30</v>
      </c>
      <c r="I33" s="75">
        <v>5</v>
      </c>
      <c r="J33" s="21" t="s">
        <v>283</v>
      </c>
      <c r="M33" s="76" t="b">
        <v>0</v>
      </c>
      <c r="N33" s="76" t="b">
        <v>0</v>
      </c>
      <c r="O33" s="21">
        <v>0</v>
      </c>
      <c r="P33" s="21" t="s">
        <v>30</v>
      </c>
      <c r="R33" s="21" t="s">
        <v>43</v>
      </c>
      <c r="S33" s="21" t="s">
        <v>32</v>
      </c>
      <c r="T33" s="77" t="s">
        <v>3251</v>
      </c>
      <c r="U33" s="77" t="s">
        <v>3252</v>
      </c>
      <c r="V33" s="77" t="s">
        <v>284</v>
      </c>
      <c r="W33" s="21" t="s">
        <v>35</v>
      </c>
      <c r="X33" s="21" t="s">
        <v>82</v>
      </c>
      <c r="Y33" s="78" t="s">
        <v>285</v>
      </c>
    </row>
    <row r="34" spans="1:25" x14ac:dyDescent="0.2">
      <c r="A34" s="70">
        <v>33</v>
      </c>
      <c r="B34" s="30" t="s">
        <v>286</v>
      </c>
      <c r="C34" s="30" t="s">
        <v>286</v>
      </c>
      <c r="D34" s="30" t="s">
        <v>68</v>
      </c>
      <c r="E34" s="30" t="s">
        <v>287</v>
      </c>
      <c r="F34" s="30">
        <v>175</v>
      </c>
      <c r="G34" s="30">
        <v>300</v>
      </c>
      <c r="H34" s="30">
        <v>60</v>
      </c>
      <c r="I34" s="71">
        <v>5</v>
      </c>
      <c r="J34" s="30" t="s">
        <v>288</v>
      </c>
      <c r="M34" s="32" t="b">
        <v>0</v>
      </c>
      <c r="N34" s="32" t="b">
        <v>0</v>
      </c>
      <c r="O34" s="30">
        <v>0</v>
      </c>
      <c r="P34" s="30" t="s">
        <v>30</v>
      </c>
      <c r="R34" s="30" t="s">
        <v>31</v>
      </c>
      <c r="S34" s="30" t="s">
        <v>32</v>
      </c>
      <c r="T34" s="72" t="s">
        <v>33</v>
      </c>
      <c r="U34" s="72" t="s">
        <v>33</v>
      </c>
      <c r="V34" s="72" t="s">
        <v>289</v>
      </c>
      <c r="W34" s="30" t="s">
        <v>35</v>
      </c>
      <c r="X34" s="30" t="s">
        <v>168</v>
      </c>
      <c r="Y34" s="73" t="s">
        <v>290</v>
      </c>
    </row>
    <row r="35" spans="1:25" x14ac:dyDescent="0.2">
      <c r="A35" s="74">
        <v>34</v>
      </c>
      <c r="B35" s="21" t="s">
        <v>291</v>
      </c>
      <c r="C35" s="21" t="s">
        <v>292</v>
      </c>
      <c r="D35" s="21" t="s">
        <v>49</v>
      </c>
      <c r="E35" s="21" t="s">
        <v>293</v>
      </c>
      <c r="F35" s="21">
        <v>100</v>
      </c>
      <c r="G35" s="21">
        <v>3000</v>
      </c>
      <c r="H35" s="21">
        <v>20</v>
      </c>
      <c r="I35" s="75">
        <v>15</v>
      </c>
      <c r="J35" s="21" t="s">
        <v>294</v>
      </c>
      <c r="M35" s="76" t="b">
        <v>0</v>
      </c>
      <c r="N35" s="76" t="b">
        <v>0</v>
      </c>
      <c r="O35" s="21">
        <v>0</v>
      </c>
      <c r="P35" s="21" t="s">
        <v>122</v>
      </c>
      <c r="Q35" s="21" t="s">
        <v>295</v>
      </c>
      <c r="R35" s="21" t="s">
        <v>130</v>
      </c>
      <c r="S35" s="21" t="s">
        <v>32</v>
      </c>
      <c r="T35" s="77" t="s">
        <v>33</v>
      </c>
      <c r="U35" s="77" t="s">
        <v>33</v>
      </c>
      <c r="V35" s="77" t="s">
        <v>296</v>
      </c>
      <c r="W35" s="21" t="s">
        <v>54</v>
      </c>
      <c r="X35" s="21" t="s">
        <v>168</v>
      </c>
      <c r="Y35" s="78" t="s">
        <v>297</v>
      </c>
    </row>
    <row r="36" spans="1:25" x14ac:dyDescent="0.2">
      <c r="A36" s="70">
        <v>35</v>
      </c>
      <c r="B36" s="30" t="s">
        <v>298</v>
      </c>
      <c r="C36" s="30" t="s">
        <v>299</v>
      </c>
      <c r="D36" s="30" t="s">
        <v>95</v>
      </c>
      <c r="E36" s="30" t="s">
        <v>300</v>
      </c>
      <c r="F36" s="30">
        <v>0</v>
      </c>
      <c r="G36" s="30">
        <v>1</v>
      </c>
      <c r="H36" s="30">
        <v>0</v>
      </c>
      <c r="I36" s="71">
        <v>20</v>
      </c>
      <c r="J36" s="30" t="s">
        <v>301</v>
      </c>
      <c r="L36" s="30" t="s">
        <v>302</v>
      </c>
      <c r="M36" s="32" t="b">
        <v>1</v>
      </c>
      <c r="N36" s="32" t="b">
        <v>0</v>
      </c>
      <c r="O36" s="30">
        <v>0</v>
      </c>
      <c r="P36" s="30" t="s">
        <v>30</v>
      </c>
      <c r="Q36" s="30" t="s">
        <v>303</v>
      </c>
      <c r="R36" s="30" t="s">
        <v>43</v>
      </c>
      <c r="S36" s="30" t="s">
        <v>32</v>
      </c>
      <c r="T36" s="72" t="s">
        <v>33</v>
      </c>
      <c r="U36" s="72" t="s">
        <v>33</v>
      </c>
      <c r="V36" s="72" t="s">
        <v>304</v>
      </c>
      <c r="W36" s="30" t="s">
        <v>11</v>
      </c>
      <c r="X36" s="30" t="s">
        <v>168</v>
      </c>
      <c r="Y36" s="73" t="s">
        <v>305</v>
      </c>
    </row>
    <row r="37" spans="1:25" x14ac:dyDescent="0.2">
      <c r="A37" s="74">
        <v>36</v>
      </c>
      <c r="B37" s="21" t="s">
        <v>306</v>
      </c>
      <c r="C37" s="21" t="s">
        <v>307</v>
      </c>
      <c r="D37" s="21" t="s">
        <v>40</v>
      </c>
      <c r="E37" s="21" t="s">
        <v>308</v>
      </c>
      <c r="F37" s="21">
        <v>80</v>
      </c>
      <c r="G37" s="21">
        <v>1</v>
      </c>
      <c r="H37" s="21">
        <v>0</v>
      </c>
      <c r="I37" s="75">
        <v>50</v>
      </c>
      <c r="J37" s="21" t="s">
        <v>97</v>
      </c>
      <c r="M37" s="76" t="b">
        <v>1</v>
      </c>
      <c r="N37" s="76" t="b">
        <v>1</v>
      </c>
      <c r="O37" s="21">
        <v>50</v>
      </c>
      <c r="P37" s="21" t="s">
        <v>122</v>
      </c>
      <c r="Q37" s="21" t="s">
        <v>309</v>
      </c>
      <c r="R37" s="21" t="s">
        <v>72</v>
      </c>
      <c r="S37" s="21" t="s">
        <v>32</v>
      </c>
      <c r="T37" s="77" t="s">
        <v>33</v>
      </c>
      <c r="U37" s="77" t="s">
        <v>33</v>
      </c>
      <c r="V37" s="77" t="s">
        <v>310</v>
      </c>
      <c r="W37" s="21" t="s">
        <v>45</v>
      </c>
      <c r="X37" s="21" t="s">
        <v>168</v>
      </c>
      <c r="Y37" s="78" t="s">
        <v>311</v>
      </c>
    </row>
    <row r="38" spans="1:25" x14ac:dyDescent="0.2">
      <c r="A38" s="70">
        <v>37</v>
      </c>
      <c r="B38" s="30" t="s">
        <v>312</v>
      </c>
      <c r="C38" s="30" t="s">
        <v>313</v>
      </c>
      <c r="D38" s="30" t="s">
        <v>78</v>
      </c>
      <c r="E38" s="30" t="s">
        <v>314</v>
      </c>
      <c r="F38" s="30">
        <v>200</v>
      </c>
      <c r="G38" s="30">
        <v>300</v>
      </c>
      <c r="H38" s="30">
        <v>40</v>
      </c>
      <c r="I38" s="71">
        <v>5</v>
      </c>
      <c r="J38" s="30" t="s">
        <v>315</v>
      </c>
      <c r="K38" s="30" t="s">
        <v>316</v>
      </c>
      <c r="M38" s="32" t="b">
        <v>0</v>
      </c>
      <c r="N38" s="32" t="b">
        <v>0</v>
      </c>
      <c r="O38" s="30">
        <v>0</v>
      </c>
      <c r="P38" s="30" t="s">
        <v>122</v>
      </c>
      <c r="R38" s="30" t="s">
        <v>158</v>
      </c>
      <c r="S38" s="30" t="s">
        <v>32</v>
      </c>
      <c r="T38" s="72" t="s">
        <v>33</v>
      </c>
      <c r="U38" s="72" t="s">
        <v>33</v>
      </c>
      <c r="V38" s="72" t="s">
        <v>317</v>
      </c>
      <c r="W38" s="30" t="s">
        <v>35</v>
      </c>
      <c r="X38" s="30" t="s">
        <v>141</v>
      </c>
      <c r="Y38" s="73" t="s">
        <v>318</v>
      </c>
    </row>
    <row r="39" spans="1:25" x14ac:dyDescent="0.2">
      <c r="A39" s="74">
        <v>38</v>
      </c>
      <c r="B39" s="21" t="s">
        <v>319</v>
      </c>
      <c r="C39" s="21" t="s">
        <v>320</v>
      </c>
      <c r="D39" s="21" t="s">
        <v>95</v>
      </c>
      <c r="E39" s="21" t="s">
        <v>321</v>
      </c>
      <c r="F39" s="21">
        <v>50</v>
      </c>
      <c r="G39" s="21">
        <v>1</v>
      </c>
      <c r="H39" s="21">
        <v>0</v>
      </c>
      <c r="I39" s="75">
        <v>5</v>
      </c>
      <c r="J39" s="21" t="s">
        <v>97</v>
      </c>
      <c r="L39" s="21" t="s">
        <v>322</v>
      </c>
      <c r="M39" s="76" t="b">
        <v>1</v>
      </c>
      <c r="N39" s="76" t="b">
        <v>1</v>
      </c>
      <c r="O39" s="21">
        <v>0</v>
      </c>
      <c r="P39" s="21" t="s">
        <v>180</v>
      </c>
      <c r="Q39" s="21" t="s">
        <v>157</v>
      </c>
      <c r="R39" s="21" t="s">
        <v>72</v>
      </c>
      <c r="S39" s="21" t="s">
        <v>32</v>
      </c>
      <c r="T39" s="77" t="s">
        <v>33</v>
      </c>
      <c r="U39" s="77" t="s">
        <v>33</v>
      </c>
      <c r="V39" s="77" t="s">
        <v>323</v>
      </c>
      <c r="W39" s="21" t="s">
        <v>11</v>
      </c>
      <c r="X39" s="21" t="s">
        <v>74</v>
      </c>
      <c r="Y39" s="78" t="s">
        <v>324</v>
      </c>
    </row>
    <row r="40" spans="1:25" x14ac:dyDescent="0.2">
      <c r="A40" s="70">
        <v>39</v>
      </c>
      <c r="B40" s="30" t="s">
        <v>325</v>
      </c>
      <c r="C40" s="30" t="s">
        <v>326</v>
      </c>
      <c r="D40" s="30" t="s">
        <v>216</v>
      </c>
      <c r="E40" s="30" t="s">
        <v>327</v>
      </c>
      <c r="F40" s="30">
        <v>350</v>
      </c>
      <c r="G40" s="30">
        <v>300</v>
      </c>
      <c r="H40" s="30">
        <v>800</v>
      </c>
      <c r="I40" s="71">
        <v>5</v>
      </c>
      <c r="J40" s="30" t="s">
        <v>328</v>
      </c>
      <c r="M40" s="32" t="b">
        <v>0</v>
      </c>
      <c r="N40" s="32" t="b">
        <v>0</v>
      </c>
      <c r="O40" s="30">
        <v>0</v>
      </c>
      <c r="P40" s="30" t="s">
        <v>122</v>
      </c>
      <c r="Q40" s="30" t="s">
        <v>226</v>
      </c>
      <c r="R40" s="30" t="s">
        <v>130</v>
      </c>
      <c r="S40" s="30" t="s">
        <v>32</v>
      </c>
      <c r="T40" s="72" t="s">
        <v>33</v>
      </c>
      <c r="U40" s="72" t="s">
        <v>33</v>
      </c>
      <c r="V40" s="72" t="s">
        <v>329</v>
      </c>
      <c r="W40" s="30" t="s">
        <v>35</v>
      </c>
      <c r="X40" s="30" t="s">
        <v>141</v>
      </c>
      <c r="Y40" s="73" t="s">
        <v>330</v>
      </c>
    </row>
    <row r="41" spans="1:25" x14ac:dyDescent="0.2">
      <c r="A41" s="74">
        <v>40</v>
      </c>
      <c r="B41" s="21" t="s">
        <v>331</v>
      </c>
      <c r="C41" s="21" t="s">
        <v>332</v>
      </c>
      <c r="D41" s="21" t="s">
        <v>216</v>
      </c>
      <c r="E41" s="21" t="s">
        <v>333</v>
      </c>
      <c r="F41" s="21">
        <v>25</v>
      </c>
      <c r="G41" s="21">
        <v>1</v>
      </c>
      <c r="H41" s="21">
        <v>0</v>
      </c>
      <c r="I41" s="75">
        <v>25</v>
      </c>
      <c r="J41" s="21" t="s">
        <v>97</v>
      </c>
      <c r="L41" s="21" t="s">
        <v>334</v>
      </c>
      <c r="M41" s="76" t="b">
        <v>1</v>
      </c>
      <c r="N41" s="76" t="b">
        <v>1</v>
      </c>
      <c r="O41" s="21">
        <v>0</v>
      </c>
      <c r="P41" s="21" t="s">
        <v>30</v>
      </c>
      <c r="Q41" s="21" t="s">
        <v>335</v>
      </c>
      <c r="R41" s="21" t="s">
        <v>130</v>
      </c>
      <c r="S41" s="21" t="s">
        <v>32</v>
      </c>
      <c r="T41" s="77" t="s">
        <v>33</v>
      </c>
      <c r="U41" s="77" t="s">
        <v>33</v>
      </c>
      <c r="V41" s="77" t="s">
        <v>336</v>
      </c>
      <c r="W41" s="21" t="s">
        <v>11</v>
      </c>
      <c r="X41" s="21" t="s">
        <v>337</v>
      </c>
      <c r="Y41" s="78" t="s">
        <v>338</v>
      </c>
    </row>
    <row r="42" spans="1:25" x14ac:dyDescent="0.2">
      <c r="A42" s="70">
        <v>41</v>
      </c>
      <c r="B42" s="30" t="s">
        <v>339</v>
      </c>
      <c r="C42" s="30" t="s">
        <v>340</v>
      </c>
      <c r="D42" s="30" t="s">
        <v>49</v>
      </c>
      <c r="E42" s="30" t="s">
        <v>341</v>
      </c>
      <c r="F42" s="30">
        <v>75</v>
      </c>
      <c r="G42" s="30">
        <v>2000</v>
      </c>
      <c r="H42" s="30">
        <v>0</v>
      </c>
      <c r="I42" s="71">
        <v>15</v>
      </c>
      <c r="J42" s="30" t="s">
        <v>342</v>
      </c>
      <c r="L42" s="30" t="s">
        <v>343</v>
      </c>
      <c r="M42" s="32" t="b">
        <v>0</v>
      </c>
      <c r="N42" s="32" t="b">
        <v>0</v>
      </c>
      <c r="O42" s="30">
        <v>0</v>
      </c>
      <c r="P42" s="30" t="s">
        <v>122</v>
      </c>
      <c r="Q42" s="30" t="s">
        <v>344</v>
      </c>
      <c r="R42" s="30" t="s">
        <v>52</v>
      </c>
      <c r="S42" s="30" t="s">
        <v>32</v>
      </c>
      <c r="T42" s="72" t="s">
        <v>33</v>
      </c>
      <c r="U42" s="72" t="s">
        <v>33</v>
      </c>
      <c r="V42" s="72" t="s">
        <v>345</v>
      </c>
      <c r="W42" s="30" t="s">
        <v>54</v>
      </c>
      <c r="X42" s="30" t="s">
        <v>168</v>
      </c>
      <c r="Y42" s="73" t="s">
        <v>346</v>
      </c>
    </row>
    <row r="43" spans="1:25" x14ac:dyDescent="0.2">
      <c r="A43" s="74">
        <v>42</v>
      </c>
      <c r="B43" s="21" t="s">
        <v>347</v>
      </c>
      <c r="C43" s="21" t="s">
        <v>348</v>
      </c>
      <c r="D43" s="21" t="s">
        <v>216</v>
      </c>
      <c r="E43" s="21" t="s">
        <v>349</v>
      </c>
      <c r="F43" s="21">
        <v>50</v>
      </c>
      <c r="G43" s="21">
        <v>300</v>
      </c>
      <c r="H43" s="21">
        <v>550</v>
      </c>
      <c r="I43" s="75">
        <v>5</v>
      </c>
      <c r="J43" s="21" t="s">
        <v>350</v>
      </c>
      <c r="L43" s="21" t="s">
        <v>351</v>
      </c>
      <c r="M43" s="76" t="b">
        <v>0</v>
      </c>
      <c r="N43" s="76" t="b">
        <v>0</v>
      </c>
      <c r="O43" s="21">
        <v>0</v>
      </c>
      <c r="P43" s="21" t="s">
        <v>30</v>
      </c>
      <c r="R43" s="21" t="s">
        <v>72</v>
      </c>
      <c r="S43" s="21" t="s">
        <v>32</v>
      </c>
      <c r="T43" s="77" t="s">
        <v>33</v>
      </c>
      <c r="U43" s="77" t="s">
        <v>33</v>
      </c>
      <c r="V43" s="77" t="s">
        <v>352</v>
      </c>
      <c r="W43" s="21" t="s">
        <v>35</v>
      </c>
      <c r="X43" s="21" t="s">
        <v>82</v>
      </c>
      <c r="Y43" s="78" t="s">
        <v>353</v>
      </c>
    </row>
    <row r="44" spans="1:25" x14ac:dyDescent="0.2">
      <c r="A44" s="70">
        <v>43</v>
      </c>
      <c r="B44" s="30" t="s">
        <v>354</v>
      </c>
      <c r="C44" s="30" t="s">
        <v>355</v>
      </c>
      <c r="D44" s="30" t="s">
        <v>356</v>
      </c>
      <c r="E44" s="30" t="s">
        <v>357</v>
      </c>
      <c r="F44" s="30">
        <v>250</v>
      </c>
      <c r="G44" s="30">
        <v>1</v>
      </c>
      <c r="H44" s="30">
        <v>0</v>
      </c>
      <c r="I44" s="71">
        <v>10</v>
      </c>
      <c r="J44" s="30" t="s">
        <v>97</v>
      </c>
      <c r="K44" s="30" t="s">
        <v>358</v>
      </c>
      <c r="M44" s="32" t="b">
        <v>1</v>
      </c>
      <c r="N44" s="32" t="b">
        <v>1</v>
      </c>
      <c r="O44" s="30">
        <v>0</v>
      </c>
      <c r="P44" s="30" t="s">
        <v>180</v>
      </c>
      <c r="Q44" s="30" t="s">
        <v>309</v>
      </c>
      <c r="R44" s="30" t="s">
        <v>62</v>
      </c>
      <c r="S44" s="30" t="s">
        <v>32</v>
      </c>
      <c r="T44" s="72" t="s">
        <v>33</v>
      </c>
      <c r="U44" s="72" t="s">
        <v>33</v>
      </c>
      <c r="V44" s="72" t="s">
        <v>359</v>
      </c>
      <c r="W44" s="30" t="s">
        <v>360</v>
      </c>
      <c r="X44" s="30" t="s">
        <v>168</v>
      </c>
      <c r="Y44" s="73" t="s">
        <v>361</v>
      </c>
    </row>
    <row r="45" spans="1:25" x14ac:dyDescent="0.2">
      <c r="A45" s="74">
        <v>44</v>
      </c>
      <c r="B45" s="21" t="s">
        <v>362</v>
      </c>
      <c r="C45" s="21" t="s">
        <v>363</v>
      </c>
      <c r="D45" s="21" t="s">
        <v>40</v>
      </c>
      <c r="E45" s="21" t="s">
        <v>364</v>
      </c>
      <c r="F45" s="21">
        <v>25</v>
      </c>
      <c r="G45" s="21">
        <v>300</v>
      </c>
      <c r="H45" s="21">
        <v>0</v>
      </c>
      <c r="I45" s="75">
        <v>5</v>
      </c>
      <c r="J45" s="21" t="s">
        <v>365</v>
      </c>
      <c r="M45" s="76" t="b">
        <v>0</v>
      </c>
      <c r="N45" s="76" t="b">
        <v>0</v>
      </c>
      <c r="O45" s="21">
        <v>75</v>
      </c>
      <c r="P45" s="21" t="s">
        <v>30</v>
      </c>
      <c r="R45" s="21" t="s">
        <v>366</v>
      </c>
      <c r="S45" s="21" t="s">
        <v>32</v>
      </c>
      <c r="T45" s="77" t="s">
        <v>33</v>
      </c>
      <c r="U45" s="77" t="s">
        <v>33</v>
      </c>
      <c r="V45" s="77" t="s">
        <v>367</v>
      </c>
      <c r="W45" s="21" t="s">
        <v>45</v>
      </c>
      <c r="X45" s="21" t="s">
        <v>74</v>
      </c>
      <c r="Y45" s="78" t="s">
        <v>368</v>
      </c>
    </row>
    <row r="46" spans="1:25" x14ac:dyDescent="0.2">
      <c r="A46" s="70">
        <v>45</v>
      </c>
      <c r="B46" s="30" t="s">
        <v>369</v>
      </c>
      <c r="C46" s="30" t="s">
        <v>370</v>
      </c>
      <c r="D46" s="30" t="s">
        <v>199</v>
      </c>
      <c r="E46" s="30" t="s">
        <v>371</v>
      </c>
      <c r="F46" s="30">
        <v>0</v>
      </c>
      <c r="G46" s="30">
        <v>150</v>
      </c>
      <c r="H46" s="30">
        <v>20</v>
      </c>
      <c r="I46" s="71">
        <v>5</v>
      </c>
      <c r="J46" s="30" t="s">
        <v>372</v>
      </c>
      <c r="L46" s="30" t="s">
        <v>373</v>
      </c>
      <c r="M46" s="32" t="b">
        <v>0</v>
      </c>
      <c r="N46" s="32" t="b">
        <v>0</v>
      </c>
      <c r="O46" s="30">
        <v>0</v>
      </c>
      <c r="P46" s="30" t="s">
        <v>30</v>
      </c>
      <c r="Q46" s="30" t="s">
        <v>374</v>
      </c>
      <c r="R46" s="30" t="s">
        <v>366</v>
      </c>
      <c r="S46" s="30" t="s">
        <v>32</v>
      </c>
      <c r="T46" s="72" t="s">
        <v>33</v>
      </c>
      <c r="U46" s="72" t="s">
        <v>33</v>
      </c>
      <c r="V46" s="72" t="s">
        <v>375</v>
      </c>
      <c r="W46" s="30" t="s">
        <v>111</v>
      </c>
      <c r="X46" s="30" t="s">
        <v>74</v>
      </c>
      <c r="Y46" s="73" t="s">
        <v>376</v>
      </c>
    </row>
    <row r="47" spans="1:25" x14ac:dyDescent="0.2">
      <c r="A47" s="74">
        <v>46</v>
      </c>
      <c r="B47" s="21" t="s">
        <v>377</v>
      </c>
      <c r="C47" s="21" t="s">
        <v>378</v>
      </c>
      <c r="D47" s="21" t="s">
        <v>199</v>
      </c>
      <c r="E47" s="21" t="s">
        <v>379</v>
      </c>
      <c r="F47" s="21">
        <v>125</v>
      </c>
      <c r="G47" s="21">
        <v>300</v>
      </c>
      <c r="H47" s="21">
        <v>40</v>
      </c>
      <c r="I47" s="75">
        <v>5</v>
      </c>
      <c r="J47" s="21" t="s">
        <v>380</v>
      </c>
      <c r="M47" s="76" t="b">
        <v>0</v>
      </c>
      <c r="N47" s="76" t="b">
        <v>0</v>
      </c>
      <c r="O47" s="21">
        <v>0</v>
      </c>
      <c r="P47" s="21" t="s">
        <v>30</v>
      </c>
      <c r="Q47" s="21" t="s">
        <v>226</v>
      </c>
      <c r="R47" s="21" t="s">
        <v>366</v>
      </c>
      <c r="S47" s="21" t="s">
        <v>32</v>
      </c>
      <c r="T47" s="77" t="s">
        <v>33</v>
      </c>
      <c r="U47" s="77" t="s">
        <v>33</v>
      </c>
      <c r="V47" s="77" t="s">
        <v>381</v>
      </c>
      <c r="W47" s="21" t="s">
        <v>111</v>
      </c>
      <c r="X47" s="21" t="s">
        <v>382</v>
      </c>
      <c r="Y47" s="78" t="s">
        <v>383</v>
      </c>
    </row>
    <row r="48" spans="1:25" x14ac:dyDescent="0.2">
      <c r="A48" s="70">
        <v>47</v>
      </c>
      <c r="B48" s="30" t="s">
        <v>384</v>
      </c>
      <c r="C48" s="30" t="s">
        <v>385</v>
      </c>
      <c r="D48" s="30" t="s">
        <v>40</v>
      </c>
      <c r="E48" s="30" t="s">
        <v>386</v>
      </c>
      <c r="F48" s="30">
        <v>50</v>
      </c>
      <c r="G48" s="30">
        <v>50</v>
      </c>
      <c r="H48" s="30">
        <v>40</v>
      </c>
      <c r="I48" s="71">
        <v>20</v>
      </c>
      <c r="J48" s="30" t="s">
        <v>387</v>
      </c>
      <c r="M48" s="32" t="b">
        <v>1</v>
      </c>
      <c r="N48" s="32" t="b">
        <v>0</v>
      </c>
      <c r="O48" s="30">
        <v>300</v>
      </c>
      <c r="P48" s="30" t="s">
        <v>30</v>
      </c>
      <c r="R48" s="30" t="s">
        <v>158</v>
      </c>
      <c r="S48" s="30" t="s">
        <v>32</v>
      </c>
      <c r="T48" s="72" t="s">
        <v>33</v>
      </c>
      <c r="U48" s="72" t="s">
        <v>33</v>
      </c>
      <c r="V48" s="72" t="s">
        <v>388</v>
      </c>
      <c r="W48" s="30" t="s">
        <v>45</v>
      </c>
      <c r="X48" s="30" t="s">
        <v>168</v>
      </c>
      <c r="Y48" s="73" t="s">
        <v>389</v>
      </c>
    </row>
    <row r="49" spans="1:25" x14ac:dyDescent="0.2">
      <c r="A49" s="74">
        <v>48</v>
      </c>
      <c r="B49" s="21" t="s">
        <v>390</v>
      </c>
      <c r="C49" s="21" t="s">
        <v>391</v>
      </c>
      <c r="D49" s="21" t="s">
        <v>95</v>
      </c>
      <c r="E49" s="21" t="s">
        <v>392</v>
      </c>
      <c r="F49" s="21">
        <v>100</v>
      </c>
      <c r="G49" s="21">
        <v>300</v>
      </c>
      <c r="H49" s="21">
        <v>0</v>
      </c>
      <c r="I49" s="75">
        <v>15</v>
      </c>
      <c r="J49" s="21" t="s">
        <v>393</v>
      </c>
      <c r="L49" s="21" t="s">
        <v>394</v>
      </c>
      <c r="M49" s="76" t="b">
        <v>0</v>
      </c>
      <c r="N49" s="76" t="b">
        <v>0</v>
      </c>
      <c r="O49" s="21">
        <v>0</v>
      </c>
      <c r="P49" s="21" t="s">
        <v>30</v>
      </c>
      <c r="Q49" s="21" t="s">
        <v>157</v>
      </c>
      <c r="R49" s="21" t="s">
        <v>366</v>
      </c>
      <c r="S49" s="21" t="s">
        <v>32</v>
      </c>
      <c r="T49" s="77" t="s">
        <v>33</v>
      </c>
      <c r="U49" s="77" t="s">
        <v>33</v>
      </c>
      <c r="V49" s="77" t="s">
        <v>395</v>
      </c>
      <c r="W49" s="21" t="s">
        <v>11</v>
      </c>
      <c r="X49" s="21" t="s">
        <v>101</v>
      </c>
      <c r="Y49" s="78" t="s">
        <v>396</v>
      </c>
    </row>
    <row r="50" spans="1:25" x14ac:dyDescent="0.2">
      <c r="A50" s="70">
        <v>49</v>
      </c>
      <c r="B50" s="30" t="s">
        <v>397</v>
      </c>
      <c r="C50" s="30" t="s">
        <v>398</v>
      </c>
      <c r="D50" s="30" t="s">
        <v>105</v>
      </c>
      <c r="E50" s="30" t="s">
        <v>399</v>
      </c>
      <c r="F50" s="30">
        <v>150</v>
      </c>
      <c r="G50" s="30">
        <v>300</v>
      </c>
      <c r="H50" s="30">
        <v>15</v>
      </c>
      <c r="I50" s="71">
        <v>5</v>
      </c>
      <c r="J50" s="30" t="s">
        <v>400</v>
      </c>
      <c r="M50" s="32" t="b">
        <v>0</v>
      </c>
      <c r="N50" s="32" t="b">
        <v>0</v>
      </c>
      <c r="O50" s="30">
        <v>0</v>
      </c>
      <c r="P50" s="30" t="s">
        <v>30</v>
      </c>
      <c r="Q50" s="30" t="s">
        <v>226</v>
      </c>
      <c r="R50" s="30" t="s">
        <v>62</v>
      </c>
      <c r="S50" s="30" t="s">
        <v>32</v>
      </c>
      <c r="T50" s="72" t="s">
        <v>33</v>
      </c>
      <c r="U50" s="72" t="s">
        <v>33</v>
      </c>
      <c r="V50" s="72" t="s">
        <v>401</v>
      </c>
      <c r="W50" s="30" t="s">
        <v>111</v>
      </c>
      <c r="X50" s="30" t="s">
        <v>168</v>
      </c>
      <c r="Y50" s="73" t="s">
        <v>402</v>
      </c>
    </row>
    <row r="51" spans="1:25" x14ac:dyDescent="0.2">
      <c r="A51" s="74">
        <v>50</v>
      </c>
      <c r="B51" s="21" t="s">
        <v>403</v>
      </c>
      <c r="C51" s="21" t="s">
        <v>404</v>
      </c>
      <c r="D51" s="21" t="s">
        <v>105</v>
      </c>
      <c r="E51" s="21" t="s">
        <v>405</v>
      </c>
      <c r="F51" s="21">
        <v>50</v>
      </c>
      <c r="G51" s="21">
        <v>1200</v>
      </c>
      <c r="H51" s="21">
        <v>100</v>
      </c>
      <c r="I51" s="75">
        <v>15</v>
      </c>
      <c r="J51" s="21" t="s">
        <v>406</v>
      </c>
      <c r="M51" s="76" t="b">
        <v>0</v>
      </c>
      <c r="N51" s="76" t="b">
        <v>0</v>
      </c>
      <c r="O51" s="21">
        <v>0</v>
      </c>
      <c r="P51" s="21" t="s">
        <v>30</v>
      </c>
      <c r="Q51" s="21" t="s">
        <v>109</v>
      </c>
      <c r="R51" s="21" t="s">
        <v>72</v>
      </c>
      <c r="S51" s="21" t="s">
        <v>32</v>
      </c>
      <c r="T51" s="77" t="s">
        <v>33</v>
      </c>
      <c r="U51" s="77" t="s">
        <v>33</v>
      </c>
      <c r="V51" s="77" t="s">
        <v>407</v>
      </c>
      <c r="W51" s="21" t="s">
        <v>111</v>
      </c>
      <c r="X51" s="21" t="s">
        <v>168</v>
      </c>
      <c r="Y51" s="78" t="s">
        <v>408</v>
      </c>
    </row>
    <row r="52" spans="1:25" x14ac:dyDescent="0.2">
      <c r="A52" s="70">
        <v>51</v>
      </c>
      <c r="B52" s="30" t="s">
        <v>409</v>
      </c>
      <c r="C52" s="30" t="s">
        <v>410</v>
      </c>
      <c r="D52" s="30" t="s">
        <v>356</v>
      </c>
      <c r="E52" s="30" t="s">
        <v>411</v>
      </c>
      <c r="F52" s="30">
        <v>100</v>
      </c>
      <c r="G52" s="30">
        <v>1</v>
      </c>
      <c r="H52" s="30">
        <v>0</v>
      </c>
      <c r="I52" s="71">
        <v>90</v>
      </c>
      <c r="J52" s="30" t="s">
        <v>97</v>
      </c>
      <c r="L52" s="30" t="s">
        <v>412</v>
      </c>
      <c r="M52" s="32" t="b">
        <v>1</v>
      </c>
      <c r="N52" s="32" t="b">
        <v>1</v>
      </c>
      <c r="O52" s="30">
        <v>0</v>
      </c>
      <c r="P52" s="30" t="s">
        <v>180</v>
      </c>
      <c r="Q52" s="30" t="s">
        <v>157</v>
      </c>
      <c r="R52" s="30" t="s">
        <v>72</v>
      </c>
      <c r="S52" s="30" t="s">
        <v>32</v>
      </c>
      <c r="T52" s="72" t="s">
        <v>33</v>
      </c>
      <c r="U52" s="72" t="s">
        <v>33</v>
      </c>
      <c r="V52" s="72" t="s">
        <v>413</v>
      </c>
      <c r="W52" s="30" t="s">
        <v>11</v>
      </c>
      <c r="X52" s="30" t="s">
        <v>168</v>
      </c>
      <c r="Y52" s="73" t="s">
        <v>414</v>
      </c>
    </row>
    <row r="53" spans="1:25" x14ac:dyDescent="0.2">
      <c r="A53" s="74">
        <v>52</v>
      </c>
      <c r="B53" s="21" t="s">
        <v>415</v>
      </c>
      <c r="C53" s="21" t="s">
        <v>416</v>
      </c>
      <c r="D53" s="21" t="s">
        <v>199</v>
      </c>
      <c r="E53" s="21" t="s">
        <v>417</v>
      </c>
      <c r="F53" s="21">
        <v>50</v>
      </c>
      <c r="G53" s="21">
        <v>600</v>
      </c>
      <c r="H53" s="21">
        <v>0</v>
      </c>
      <c r="I53" s="75">
        <v>20</v>
      </c>
      <c r="J53" s="21" t="s">
        <v>418</v>
      </c>
      <c r="M53" s="76" t="b">
        <v>0</v>
      </c>
      <c r="N53" s="76" t="b">
        <v>0</v>
      </c>
      <c r="O53" s="21">
        <v>0</v>
      </c>
      <c r="P53" s="21" t="s">
        <v>30</v>
      </c>
      <c r="Q53" s="21" t="s">
        <v>157</v>
      </c>
      <c r="R53" s="21" t="s">
        <v>270</v>
      </c>
      <c r="S53" s="21" t="s">
        <v>32</v>
      </c>
      <c r="T53" s="77" t="s">
        <v>33</v>
      </c>
      <c r="U53" s="77" t="s">
        <v>33</v>
      </c>
      <c r="V53" s="77" t="s">
        <v>419</v>
      </c>
      <c r="W53" s="21" t="s">
        <v>11</v>
      </c>
      <c r="X53" s="21" t="s">
        <v>64</v>
      </c>
      <c r="Y53" s="78" t="s">
        <v>420</v>
      </c>
    </row>
    <row r="54" spans="1:25" x14ac:dyDescent="0.2">
      <c r="A54" s="70">
        <v>53</v>
      </c>
      <c r="B54" s="30" t="s">
        <v>421</v>
      </c>
      <c r="C54" s="30" t="s">
        <v>422</v>
      </c>
      <c r="D54" s="30" t="s">
        <v>199</v>
      </c>
      <c r="E54" s="30" t="s">
        <v>423</v>
      </c>
      <c r="F54" s="30">
        <v>150</v>
      </c>
      <c r="G54" s="30">
        <v>300</v>
      </c>
      <c r="H54" s="30">
        <v>50</v>
      </c>
      <c r="I54" s="71">
        <v>5</v>
      </c>
      <c r="J54" s="30" t="s">
        <v>424</v>
      </c>
      <c r="M54" s="32" t="b">
        <v>0</v>
      </c>
      <c r="N54" s="32" t="b">
        <v>0</v>
      </c>
      <c r="O54" s="30">
        <v>0</v>
      </c>
      <c r="P54" s="30" t="s">
        <v>122</v>
      </c>
      <c r="R54" s="30" t="s">
        <v>366</v>
      </c>
      <c r="S54" s="30" t="s">
        <v>32</v>
      </c>
      <c r="T54" s="72" t="s">
        <v>33</v>
      </c>
      <c r="U54" s="72" t="s">
        <v>33</v>
      </c>
      <c r="V54" s="72" t="s">
        <v>425</v>
      </c>
      <c r="W54" s="30" t="s">
        <v>35</v>
      </c>
      <c r="X54" s="30" t="s">
        <v>82</v>
      </c>
      <c r="Y54" s="73" t="s">
        <v>426</v>
      </c>
    </row>
    <row r="55" spans="1:25" x14ac:dyDescent="0.2">
      <c r="A55" s="74">
        <v>54</v>
      </c>
      <c r="B55" s="21" t="s">
        <v>427</v>
      </c>
      <c r="C55" s="21" t="s">
        <v>428</v>
      </c>
      <c r="D55" s="21" t="s">
        <v>356</v>
      </c>
      <c r="E55" s="21" t="s">
        <v>429</v>
      </c>
      <c r="F55" s="21">
        <v>100</v>
      </c>
      <c r="G55" s="21">
        <v>1</v>
      </c>
      <c r="H55" s="21">
        <v>0</v>
      </c>
      <c r="I55" s="75">
        <v>20</v>
      </c>
      <c r="J55" s="21" t="s">
        <v>97</v>
      </c>
      <c r="M55" s="76" t="b">
        <v>1</v>
      </c>
      <c r="N55" s="76" t="b">
        <v>1</v>
      </c>
      <c r="O55" s="21">
        <v>0</v>
      </c>
      <c r="P55" s="21" t="s">
        <v>30</v>
      </c>
      <c r="R55" s="21" t="s">
        <v>62</v>
      </c>
      <c r="S55" s="21" t="s">
        <v>32</v>
      </c>
      <c r="T55" s="77" t="s">
        <v>33</v>
      </c>
      <c r="U55" s="77" t="s">
        <v>33</v>
      </c>
      <c r="V55" s="77" t="s">
        <v>430</v>
      </c>
      <c r="W55" s="21" t="s">
        <v>360</v>
      </c>
      <c r="X55" s="21" t="s">
        <v>168</v>
      </c>
      <c r="Y55" s="78" t="s">
        <v>431</v>
      </c>
    </row>
    <row r="56" spans="1:25" x14ac:dyDescent="0.2">
      <c r="A56" s="70">
        <v>55</v>
      </c>
      <c r="B56" s="30" t="s">
        <v>432</v>
      </c>
      <c r="C56" s="30" t="s">
        <v>433</v>
      </c>
      <c r="D56" s="30" t="s">
        <v>27</v>
      </c>
      <c r="E56" s="30" t="s">
        <v>434</v>
      </c>
      <c r="F56" s="30">
        <v>175</v>
      </c>
      <c r="G56" s="30">
        <v>300</v>
      </c>
      <c r="H56" s="30">
        <v>50</v>
      </c>
      <c r="I56" s="71">
        <v>5</v>
      </c>
      <c r="J56" s="30" t="s">
        <v>435</v>
      </c>
      <c r="L56" s="30" t="s">
        <v>436</v>
      </c>
      <c r="M56" s="32" t="b">
        <v>0</v>
      </c>
      <c r="N56" s="32" t="b">
        <v>0</v>
      </c>
      <c r="O56" s="30">
        <v>0</v>
      </c>
      <c r="P56" s="30" t="s">
        <v>122</v>
      </c>
      <c r="Q56" s="30" t="s">
        <v>437</v>
      </c>
      <c r="R56" s="30" t="s">
        <v>31</v>
      </c>
      <c r="S56" s="30" t="s">
        <v>32</v>
      </c>
      <c r="T56" s="72" t="s">
        <v>33</v>
      </c>
      <c r="U56" s="72" t="s">
        <v>33</v>
      </c>
      <c r="V56" s="72" t="s">
        <v>438</v>
      </c>
      <c r="W56" s="30" t="s">
        <v>35</v>
      </c>
      <c r="X56" s="30" t="s">
        <v>82</v>
      </c>
      <c r="Y56" s="73" t="s">
        <v>439</v>
      </c>
    </row>
    <row r="57" spans="1:25" x14ac:dyDescent="0.2">
      <c r="A57" s="74">
        <v>56</v>
      </c>
      <c r="B57" s="21" t="s">
        <v>440</v>
      </c>
      <c r="C57" s="21" t="s">
        <v>441</v>
      </c>
      <c r="D57" s="21" t="s">
        <v>49</v>
      </c>
      <c r="E57" s="21" t="s">
        <v>442</v>
      </c>
      <c r="F57" s="21">
        <v>75</v>
      </c>
      <c r="G57" s="21">
        <v>4000</v>
      </c>
      <c r="H57" s="21">
        <v>0</v>
      </c>
      <c r="I57" s="75">
        <v>5</v>
      </c>
      <c r="J57" s="21" t="s">
        <v>443</v>
      </c>
      <c r="M57" s="76" t="b">
        <v>0</v>
      </c>
      <c r="N57" s="76" t="b">
        <v>0</v>
      </c>
      <c r="O57" s="21">
        <v>0</v>
      </c>
      <c r="P57" s="21" t="s">
        <v>122</v>
      </c>
      <c r="Q57" s="21" t="s">
        <v>437</v>
      </c>
      <c r="R57" s="21" t="s">
        <v>52</v>
      </c>
      <c r="S57" s="21" t="s">
        <v>32</v>
      </c>
      <c r="T57" s="77" t="s">
        <v>33</v>
      </c>
      <c r="U57" s="77" t="s">
        <v>33</v>
      </c>
      <c r="V57" s="77" t="s">
        <v>444</v>
      </c>
      <c r="W57" s="21" t="s">
        <v>54</v>
      </c>
      <c r="X57" s="21" t="s">
        <v>82</v>
      </c>
      <c r="Y57" s="78" t="s">
        <v>445</v>
      </c>
    </row>
    <row r="58" spans="1:25" x14ac:dyDescent="0.2">
      <c r="A58" s="70">
        <v>57</v>
      </c>
      <c r="B58" s="30" t="s">
        <v>446</v>
      </c>
      <c r="C58" s="30" t="s">
        <v>447</v>
      </c>
      <c r="D58" s="30" t="s">
        <v>199</v>
      </c>
      <c r="E58" s="30" t="s">
        <v>448</v>
      </c>
      <c r="F58" s="30">
        <v>150</v>
      </c>
      <c r="G58" s="30">
        <v>1</v>
      </c>
      <c r="H58" s="30">
        <v>0</v>
      </c>
      <c r="I58" s="71">
        <v>30</v>
      </c>
      <c r="J58" s="30" t="s">
        <v>97</v>
      </c>
      <c r="K58" s="30" t="s">
        <v>449</v>
      </c>
      <c r="M58" s="32" t="b">
        <v>1</v>
      </c>
      <c r="N58" s="32" t="b">
        <v>1</v>
      </c>
      <c r="O58" s="30">
        <v>0</v>
      </c>
      <c r="P58" s="30" t="s">
        <v>180</v>
      </c>
      <c r="R58" s="30" t="s">
        <v>366</v>
      </c>
      <c r="S58" s="30" t="s">
        <v>32</v>
      </c>
      <c r="T58" s="72" t="s">
        <v>33</v>
      </c>
      <c r="U58" s="72" t="s">
        <v>33</v>
      </c>
      <c r="V58" s="72" t="s">
        <v>450</v>
      </c>
      <c r="W58" s="30" t="s">
        <v>11</v>
      </c>
      <c r="X58" s="30" t="s">
        <v>168</v>
      </c>
      <c r="Y58" s="73" t="s">
        <v>451</v>
      </c>
    </row>
    <row r="59" spans="1:25" x14ac:dyDescent="0.2">
      <c r="A59" s="74">
        <v>58</v>
      </c>
      <c r="B59" s="21" t="s">
        <v>452</v>
      </c>
      <c r="C59" s="21" t="s">
        <v>453</v>
      </c>
      <c r="D59" s="21" t="s">
        <v>40</v>
      </c>
      <c r="E59" s="21" t="s">
        <v>454</v>
      </c>
      <c r="F59" s="21">
        <v>75</v>
      </c>
      <c r="G59" s="21">
        <v>300</v>
      </c>
      <c r="H59" s="21">
        <v>0</v>
      </c>
      <c r="I59" s="75">
        <v>5</v>
      </c>
      <c r="J59" s="21" t="s">
        <v>455</v>
      </c>
      <c r="M59" s="76" t="b">
        <v>0</v>
      </c>
      <c r="N59" s="76" t="b">
        <v>0</v>
      </c>
      <c r="O59" s="21">
        <v>75</v>
      </c>
      <c r="P59" s="21" t="s">
        <v>122</v>
      </c>
      <c r="Q59" s="21" t="s">
        <v>437</v>
      </c>
      <c r="R59" s="21" t="s">
        <v>43</v>
      </c>
      <c r="S59" s="21" t="s">
        <v>32</v>
      </c>
      <c r="T59" s="77" t="s">
        <v>33</v>
      </c>
      <c r="U59" s="77" t="s">
        <v>33</v>
      </c>
      <c r="V59" s="77" t="s">
        <v>456</v>
      </c>
      <c r="W59" s="21" t="s">
        <v>45</v>
      </c>
      <c r="X59" s="21" t="s">
        <v>82</v>
      </c>
      <c r="Y59" s="78" t="s">
        <v>457</v>
      </c>
    </row>
    <row r="60" spans="1:25" x14ac:dyDescent="0.2">
      <c r="A60" s="70">
        <v>59</v>
      </c>
      <c r="B60" s="30" t="s">
        <v>458</v>
      </c>
      <c r="C60" s="30" t="s">
        <v>459</v>
      </c>
      <c r="D60" s="30" t="s">
        <v>59</v>
      </c>
      <c r="E60" s="30" t="s">
        <v>460</v>
      </c>
      <c r="F60" s="30">
        <v>50</v>
      </c>
      <c r="G60" s="30">
        <v>300</v>
      </c>
      <c r="H60" s="30">
        <v>2400</v>
      </c>
      <c r="I60" s="71">
        <v>25</v>
      </c>
      <c r="J60" s="30" t="s">
        <v>61</v>
      </c>
      <c r="K60" s="30" t="s">
        <v>461</v>
      </c>
      <c r="M60" s="32" t="b">
        <v>1</v>
      </c>
      <c r="N60" s="32" t="b">
        <v>0</v>
      </c>
      <c r="O60" s="30">
        <v>0</v>
      </c>
      <c r="P60" s="30" t="s">
        <v>122</v>
      </c>
      <c r="Q60" s="30" t="s">
        <v>462</v>
      </c>
      <c r="R60" s="30" t="s">
        <v>62</v>
      </c>
      <c r="S60" s="30" t="s">
        <v>32</v>
      </c>
      <c r="T60" s="72" t="s">
        <v>33</v>
      </c>
      <c r="U60" s="72" t="s">
        <v>33</v>
      </c>
      <c r="V60" s="72" t="s">
        <v>463</v>
      </c>
      <c r="W60" s="30" t="s">
        <v>11</v>
      </c>
      <c r="X60" s="30" t="s">
        <v>82</v>
      </c>
      <c r="Y60" s="73" t="s">
        <v>464</v>
      </c>
    </row>
    <row r="61" spans="1:25" x14ac:dyDescent="0.2">
      <c r="A61" s="74">
        <v>60</v>
      </c>
      <c r="B61" s="21" t="s">
        <v>465</v>
      </c>
      <c r="C61" s="21" t="s">
        <v>466</v>
      </c>
      <c r="D61" s="21" t="s">
        <v>95</v>
      </c>
      <c r="E61" s="21" t="s">
        <v>467</v>
      </c>
      <c r="F61" s="21">
        <v>25</v>
      </c>
      <c r="G61" s="21">
        <v>300</v>
      </c>
      <c r="H61" s="21">
        <v>0</v>
      </c>
      <c r="I61" s="75">
        <v>5</v>
      </c>
      <c r="J61" s="21" t="s">
        <v>468</v>
      </c>
      <c r="L61" s="21" t="s">
        <v>469</v>
      </c>
      <c r="M61" s="76" t="b">
        <v>0</v>
      </c>
      <c r="N61" s="76" t="b">
        <v>0</v>
      </c>
      <c r="O61" s="21">
        <v>0</v>
      </c>
      <c r="P61" s="21" t="s">
        <v>122</v>
      </c>
      <c r="Q61" s="21" t="s">
        <v>470</v>
      </c>
      <c r="R61" s="21" t="s">
        <v>72</v>
      </c>
      <c r="S61" s="21" t="s">
        <v>32</v>
      </c>
      <c r="T61" s="77" t="s">
        <v>33</v>
      </c>
      <c r="U61" s="77" t="s">
        <v>33</v>
      </c>
      <c r="V61" s="77" t="s">
        <v>471</v>
      </c>
      <c r="W61" s="21" t="s">
        <v>360</v>
      </c>
      <c r="X61" s="21" t="s">
        <v>74</v>
      </c>
      <c r="Y61" s="78" t="s">
        <v>464</v>
      </c>
    </row>
    <row r="62" spans="1:25" x14ac:dyDescent="0.2">
      <c r="A62" s="70">
        <v>61</v>
      </c>
      <c r="B62" s="30" t="s">
        <v>472</v>
      </c>
      <c r="C62" s="30" t="s">
        <v>473</v>
      </c>
      <c r="D62" s="30" t="s">
        <v>105</v>
      </c>
      <c r="E62" s="30" t="s">
        <v>474</v>
      </c>
      <c r="F62" s="30">
        <v>25</v>
      </c>
      <c r="G62" s="30">
        <v>300</v>
      </c>
      <c r="H62" s="30">
        <v>400</v>
      </c>
      <c r="I62" s="71">
        <v>20</v>
      </c>
      <c r="J62" s="30" t="s">
        <v>475</v>
      </c>
      <c r="M62" s="32" t="b">
        <v>1</v>
      </c>
      <c r="N62" s="32" t="b">
        <v>0</v>
      </c>
      <c r="O62" s="30">
        <v>0</v>
      </c>
      <c r="P62" s="30" t="s">
        <v>122</v>
      </c>
      <c r="Q62" s="30" t="s">
        <v>476</v>
      </c>
      <c r="R62" s="30" t="s">
        <v>72</v>
      </c>
      <c r="S62" s="30" t="s">
        <v>32</v>
      </c>
      <c r="T62" s="72" t="s">
        <v>33</v>
      </c>
      <c r="U62" s="72" t="s">
        <v>33</v>
      </c>
      <c r="V62" s="72" t="s">
        <v>477</v>
      </c>
      <c r="W62" s="30" t="s">
        <v>111</v>
      </c>
      <c r="X62" s="30" t="s">
        <v>478</v>
      </c>
      <c r="Y62" s="73" t="s">
        <v>479</v>
      </c>
    </row>
    <row r="63" spans="1:25" x14ac:dyDescent="0.2">
      <c r="A63" s="74">
        <v>62</v>
      </c>
      <c r="B63" s="21" t="s">
        <v>480</v>
      </c>
      <c r="C63" s="21" t="s">
        <v>481</v>
      </c>
      <c r="D63" s="21" t="s">
        <v>27</v>
      </c>
      <c r="E63" s="21" t="s">
        <v>482</v>
      </c>
      <c r="F63" s="21">
        <v>200</v>
      </c>
      <c r="G63" s="21">
        <v>300</v>
      </c>
      <c r="H63" s="21">
        <v>40</v>
      </c>
      <c r="I63" s="75">
        <v>5</v>
      </c>
      <c r="J63" s="21" t="s">
        <v>483</v>
      </c>
      <c r="K63" s="21" t="s">
        <v>484</v>
      </c>
      <c r="M63" s="76" t="b">
        <v>0</v>
      </c>
      <c r="N63" s="76" t="b">
        <v>0</v>
      </c>
      <c r="O63" s="21">
        <v>0</v>
      </c>
      <c r="P63" s="21" t="s">
        <v>122</v>
      </c>
      <c r="R63" s="21" t="s">
        <v>62</v>
      </c>
      <c r="S63" s="21" t="s">
        <v>32</v>
      </c>
      <c r="T63" s="77" t="s">
        <v>33</v>
      </c>
      <c r="U63" s="77" t="s">
        <v>3253</v>
      </c>
      <c r="V63" s="77" t="s">
        <v>485</v>
      </c>
      <c r="W63" s="21" t="s">
        <v>35</v>
      </c>
      <c r="X63" s="21" t="s">
        <v>168</v>
      </c>
      <c r="Y63" s="78" t="s">
        <v>486</v>
      </c>
    </row>
    <row r="64" spans="1:25" x14ac:dyDescent="0.2">
      <c r="A64" s="70">
        <v>63</v>
      </c>
      <c r="B64" s="30" t="s">
        <v>487</v>
      </c>
      <c r="C64" s="30" t="s">
        <v>488</v>
      </c>
      <c r="D64" s="30" t="s">
        <v>105</v>
      </c>
      <c r="E64" s="30" t="s">
        <v>489</v>
      </c>
      <c r="F64" s="30">
        <v>125</v>
      </c>
      <c r="G64" s="30">
        <v>300</v>
      </c>
      <c r="H64" s="30">
        <v>20</v>
      </c>
      <c r="I64" s="71">
        <v>5</v>
      </c>
      <c r="J64" s="30" t="s">
        <v>490</v>
      </c>
      <c r="K64" s="30" t="s">
        <v>491</v>
      </c>
      <c r="L64" s="30" t="s">
        <v>492</v>
      </c>
      <c r="M64" s="32" t="b">
        <v>0</v>
      </c>
      <c r="N64" s="32" t="b">
        <v>0</v>
      </c>
      <c r="O64" s="30">
        <v>0</v>
      </c>
      <c r="P64" s="30" t="s">
        <v>30</v>
      </c>
      <c r="Q64" s="30" t="s">
        <v>476</v>
      </c>
      <c r="R64" s="30" t="s">
        <v>130</v>
      </c>
      <c r="S64" s="30" t="s">
        <v>32</v>
      </c>
      <c r="T64" s="72" t="s">
        <v>33</v>
      </c>
      <c r="U64" s="72" t="s">
        <v>3254</v>
      </c>
      <c r="V64" s="72" t="s">
        <v>493</v>
      </c>
      <c r="W64" s="30" t="s">
        <v>35</v>
      </c>
      <c r="X64" s="30" t="s">
        <v>82</v>
      </c>
      <c r="Y64" s="73" t="s">
        <v>494</v>
      </c>
    </row>
    <row r="65" spans="1:25" x14ac:dyDescent="0.2">
      <c r="A65" s="74">
        <v>64</v>
      </c>
      <c r="B65" s="21" t="s">
        <v>495</v>
      </c>
      <c r="C65" s="21" t="s">
        <v>496</v>
      </c>
      <c r="D65" s="21" t="s">
        <v>68</v>
      </c>
      <c r="E65" s="21" t="s">
        <v>497</v>
      </c>
      <c r="F65" s="21">
        <v>500</v>
      </c>
      <c r="G65" s="21">
        <v>300</v>
      </c>
      <c r="H65" s="21">
        <v>1200</v>
      </c>
      <c r="I65" s="75">
        <v>5</v>
      </c>
      <c r="J65" s="21" t="s">
        <v>498</v>
      </c>
      <c r="K65" s="21" t="s">
        <v>499</v>
      </c>
      <c r="L65" s="21" t="s">
        <v>500</v>
      </c>
      <c r="M65" s="76" t="b">
        <v>0</v>
      </c>
      <c r="N65" s="76" t="b">
        <v>0</v>
      </c>
      <c r="O65" s="21">
        <v>0</v>
      </c>
      <c r="P65" s="21" t="s">
        <v>122</v>
      </c>
      <c r="Q65" s="21" t="s">
        <v>226</v>
      </c>
      <c r="R65" s="21" t="s">
        <v>130</v>
      </c>
      <c r="S65" s="21" t="s">
        <v>32</v>
      </c>
      <c r="T65" s="77" t="s">
        <v>33</v>
      </c>
      <c r="U65" s="77" t="s">
        <v>33</v>
      </c>
      <c r="V65" s="77" t="s">
        <v>501</v>
      </c>
      <c r="W65" s="21" t="s">
        <v>35</v>
      </c>
      <c r="X65" s="21" t="s">
        <v>82</v>
      </c>
      <c r="Y65" s="78" t="s">
        <v>502</v>
      </c>
    </row>
    <row r="66" spans="1:25" x14ac:dyDescent="0.2">
      <c r="A66" s="70">
        <v>65</v>
      </c>
      <c r="B66" s="30" t="s">
        <v>503</v>
      </c>
      <c r="C66" s="30" t="s">
        <v>504</v>
      </c>
      <c r="D66" s="30" t="s">
        <v>505</v>
      </c>
      <c r="E66" s="30" t="s">
        <v>506</v>
      </c>
      <c r="F66" s="30">
        <v>50</v>
      </c>
      <c r="G66" s="30">
        <v>300</v>
      </c>
      <c r="H66" s="30">
        <v>0</v>
      </c>
      <c r="I66" s="71">
        <v>10</v>
      </c>
      <c r="J66" s="30" t="s">
        <v>507</v>
      </c>
      <c r="K66" s="30" t="s">
        <v>508</v>
      </c>
      <c r="M66" s="32" t="b">
        <v>0</v>
      </c>
      <c r="N66" s="32" t="b">
        <v>0</v>
      </c>
      <c r="O66" s="30">
        <v>75</v>
      </c>
      <c r="P66" s="30" t="s">
        <v>30</v>
      </c>
      <c r="R66" s="30" t="s">
        <v>43</v>
      </c>
      <c r="S66" s="30" t="s">
        <v>32</v>
      </c>
      <c r="T66" s="72" t="s">
        <v>33</v>
      </c>
      <c r="U66" s="72" t="s">
        <v>33</v>
      </c>
      <c r="V66" s="72" t="s">
        <v>509</v>
      </c>
      <c r="W66" s="30" t="s">
        <v>360</v>
      </c>
      <c r="X66" s="30" t="s">
        <v>168</v>
      </c>
      <c r="Y66" s="73" t="s">
        <v>510</v>
      </c>
    </row>
    <row r="67" spans="1:25" x14ac:dyDescent="0.2">
      <c r="A67" s="74">
        <v>66</v>
      </c>
      <c r="B67" s="21" t="s">
        <v>511</v>
      </c>
      <c r="C67" s="21" t="s">
        <v>512</v>
      </c>
      <c r="D67" s="21" t="s">
        <v>505</v>
      </c>
      <c r="E67" s="21" t="s">
        <v>513</v>
      </c>
      <c r="F67" s="21">
        <v>75</v>
      </c>
      <c r="G67" s="21">
        <v>300</v>
      </c>
      <c r="H67" s="21">
        <v>100</v>
      </c>
      <c r="I67" s="75">
        <v>5</v>
      </c>
      <c r="J67" s="21" t="s">
        <v>514</v>
      </c>
      <c r="L67" s="21" t="s">
        <v>515</v>
      </c>
      <c r="M67" s="76" t="b">
        <v>0</v>
      </c>
      <c r="N67" s="76" t="b">
        <v>0</v>
      </c>
      <c r="O67" s="21">
        <v>0</v>
      </c>
      <c r="P67" s="21" t="s">
        <v>30</v>
      </c>
      <c r="R67" s="21" t="s">
        <v>43</v>
      </c>
      <c r="S67" s="21" t="s">
        <v>32</v>
      </c>
      <c r="T67" s="77" t="s">
        <v>33</v>
      </c>
      <c r="U67" s="77" t="s">
        <v>33</v>
      </c>
      <c r="V67" s="77" t="s">
        <v>516</v>
      </c>
      <c r="W67" s="21" t="s">
        <v>35</v>
      </c>
      <c r="X67" s="21" t="s">
        <v>168</v>
      </c>
      <c r="Y67" s="78" t="s">
        <v>517</v>
      </c>
    </row>
    <row r="68" spans="1:25" x14ac:dyDescent="0.2">
      <c r="A68" s="70">
        <v>67</v>
      </c>
      <c r="B68" s="30" t="s">
        <v>518</v>
      </c>
      <c r="C68" s="30" t="s">
        <v>519</v>
      </c>
      <c r="D68" s="30" t="s">
        <v>505</v>
      </c>
      <c r="E68" s="30" t="s">
        <v>520</v>
      </c>
      <c r="F68" s="30">
        <v>50</v>
      </c>
      <c r="G68" s="30">
        <v>1</v>
      </c>
      <c r="H68" s="30">
        <v>30</v>
      </c>
      <c r="I68" s="71">
        <v>10</v>
      </c>
      <c r="J68" s="30" t="s">
        <v>521</v>
      </c>
      <c r="L68" s="30" t="s">
        <v>522</v>
      </c>
      <c r="M68" s="32" t="b">
        <v>1</v>
      </c>
      <c r="N68" s="32" t="b">
        <v>0</v>
      </c>
      <c r="O68" s="30">
        <v>0</v>
      </c>
      <c r="P68" s="30" t="s">
        <v>30</v>
      </c>
      <c r="Q68" s="30" t="s">
        <v>523</v>
      </c>
      <c r="R68" s="30" t="s">
        <v>366</v>
      </c>
      <c r="S68" s="30" t="s">
        <v>32</v>
      </c>
      <c r="T68" s="72" t="s">
        <v>33</v>
      </c>
      <c r="U68" s="72" t="s">
        <v>33</v>
      </c>
      <c r="V68" s="72" t="s">
        <v>524</v>
      </c>
      <c r="W68" s="30" t="s">
        <v>11</v>
      </c>
      <c r="X68" s="30" t="s">
        <v>168</v>
      </c>
      <c r="Y68" s="73" t="s">
        <v>525</v>
      </c>
    </row>
    <row r="69" spans="1:25" x14ac:dyDescent="0.2">
      <c r="A69" s="74">
        <v>68</v>
      </c>
      <c r="B69" s="21" t="s">
        <v>526</v>
      </c>
      <c r="C69" s="21" t="s">
        <v>527</v>
      </c>
      <c r="D69" s="21" t="s">
        <v>505</v>
      </c>
      <c r="E69" s="21" t="s">
        <v>528</v>
      </c>
      <c r="F69" s="21">
        <v>150</v>
      </c>
      <c r="G69" s="21">
        <v>300</v>
      </c>
      <c r="H69" s="21">
        <v>30</v>
      </c>
      <c r="I69" s="75">
        <v>10</v>
      </c>
      <c r="J69" s="21" t="s">
        <v>529</v>
      </c>
      <c r="L69" s="21" t="s">
        <v>530</v>
      </c>
      <c r="M69" s="76" t="b">
        <v>0</v>
      </c>
      <c r="N69" s="76" t="b">
        <v>0</v>
      </c>
      <c r="O69" s="21">
        <v>0</v>
      </c>
      <c r="P69" s="21" t="s">
        <v>122</v>
      </c>
      <c r="Q69" s="21" t="s">
        <v>226</v>
      </c>
      <c r="R69" s="21" t="s">
        <v>531</v>
      </c>
      <c r="S69" s="21" t="s">
        <v>32</v>
      </c>
      <c r="T69" s="77" t="s">
        <v>33</v>
      </c>
      <c r="U69" s="77" t="s">
        <v>33</v>
      </c>
      <c r="V69" s="77" t="s">
        <v>532</v>
      </c>
      <c r="W69" s="21" t="s">
        <v>35</v>
      </c>
      <c r="X69" s="21" t="s">
        <v>168</v>
      </c>
      <c r="Y69" s="78" t="s">
        <v>533</v>
      </c>
    </row>
    <row r="70" spans="1:25" x14ac:dyDescent="0.2">
      <c r="A70" s="70">
        <v>69</v>
      </c>
      <c r="B70" s="30" t="s">
        <v>534</v>
      </c>
      <c r="C70" s="30" t="s">
        <v>535</v>
      </c>
      <c r="D70" s="30" t="s">
        <v>505</v>
      </c>
      <c r="E70" s="30" t="s">
        <v>536</v>
      </c>
      <c r="F70" s="30">
        <v>75</v>
      </c>
      <c r="G70" s="30">
        <v>300</v>
      </c>
      <c r="H70" s="30">
        <v>600</v>
      </c>
      <c r="I70" s="71">
        <v>20</v>
      </c>
      <c r="J70" s="30" t="s">
        <v>537</v>
      </c>
      <c r="L70" s="30" t="s">
        <v>538</v>
      </c>
      <c r="M70" s="32" t="b">
        <v>1</v>
      </c>
      <c r="N70" s="32" t="b">
        <v>0</v>
      </c>
      <c r="O70" s="30">
        <v>0</v>
      </c>
      <c r="P70" s="30" t="s">
        <v>30</v>
      </c>
      <c r="R70" s="30" t="s">
        <v>43</v>
      </c>
      <c r="S70" s="30" t="s">
        <v>32</v>
      </c>
      <c r="T70" s="72" t="s">
        <v>33</v>
      </c>
      <c r="U70" s="72" t="s">
        <v>33</v>
      </c>
      <c r="V70" s="72" t="s">
        <v>539</v>
      </c>
      <c r="W70" s="30" t="s">
        <v>11</v>
      </c>
      <c r="X70" s="30" t="s">
        <v>168</v>
      </c>
      <c r="Y70" s="73" t="s">
        <v>540</v>
      </c>
    </row>
    <row r="71" spans="1:25" x14ac:dyDescent="0.2">
      <c r="A71" s="74">
        <v>70</v>
      </c>
      <c r="B71" s="21" t="s">
        <v>541</v>
      </c>
      <c r="C71" s="21" t="s">
        <v>542</v>
      </c>
      <c r="D71" s="21" t="s">
        <v>86</v>
      </c>
      <c r="E71" s="21" t="s">
        <v>543</v>
      </c>
      <c r="F71" s="21">
        <v>150</v>
      </c>
      <c r="G71" s="21">
        <v>300</v>
      </c>
      <c r="H71" s="21">
        <v>20</v>
      </c>
      <c r="I71" s="75">
        <v>5</v>
      </c>
      <c r="J71" s="21" t="s">
        <v>544</v>
      </c>
      <c r="L71" s="21" t="s">
        <v>545</v>
      </c>
      <c r="M71" s="76" t="b">
        <v>0</v>
      </c>
      <c r="N71" s="76" t="b">
        <v>0</v>
      </c>
      <c r="O71" s="21">
        <v>0</v>
      </c>
      <c r="P71" s="21" t="s">
        <v>180</v>
      </c>
      <c r="Q71" s="21" t="s">
        <v>546</v>
      </c>
      <c r="R71" s="21" t="s">
        <v>31</v>
      </c>
      <c r="S71" s="21" t="s">
        <v>547</v>
      </c>
      <c r="T71" s="77" t="s">
        <v>33</v>
      </c>
      <c r="U71" s="77" t="s">
        <v>33</v>
      </c>
      <c r="V71" s="77" t="s">
        <v>548</v>
      </c>
      <c r="W71" s="21" t="s">
        <v>35</v>
      </c>
      <c r="X71" s="21" t="s">
        <v>55</v>
      </c>
      <c r="Y71" s="78" t="s">
        <v>549</v>
      </c>
    </row>
    <row r="72" spans="1:25" x14ac:dyDescent="0.2">
      <c r="A72" s="70">
        <v>71</v>
      </c>
      <c r="B72" s="30" t="s">
        <v>550</v>
      </c>
      <c r="C72" s="30" t="s">
        <v>551</v>
      </c>
      <c r="D72" s="30" t="s">
        <v>356</v>
      </c>
      <c r="E72" s="30" t="s">
        <v>552</v>
      </c>
      <c r="F72" s="30">
        <v>175</v>
      </c>
      <c r="G72" s="30">
        <v>1</v>
      </c>
      <c r="H72" s="30">
        <v>0</v>
      </c>
      <c r="I72" s="71">
        <v>60</v>
      </c>
      <c r="J72" s="30" t="s">
        <v>97</v>
      </c>
      <c r="L72" s="30" t="s">
        <v>553</v>
      </c>
      <c r="M72" s="32" t="b">
        <v>1</v>
      </c>
      <c r="N72" s="32" t="b">
        <v>1</v>
      </c>
      <c r="O72" s="30">
        <v>0</v>
      </c>
      <c r="P72" s="30" t="s">
        <v>180</v>
      </c>
      <c r="R72" s="30" t="s">
        <v>43</v>
      </c>
      <c r="S72" s="30" t="s">
        <v>547</v>
      </c>
      <c r="T72" s="72" t="s">
        <v>33</v>
      </c>
      <c r="U72" s="72" t="s">
        <v>33</v>
      </c>
      <c r="V72" s="72" t="s">
        <v>554</v>
      </c>
      <c r="W72" s="30" t="s">
        <v>360</v>
      </c>
      <c r="X72" s="30" t="s">
        <v>168</v>
      </c>
      <c r="Y72" s="73" t="s">
        <v>555</v>
      </c>
    </row>
    <row r="73" spans="1:25" x14ac:dyDescent="0.2">
      <c r="A73" s="74">
        <v>72</v>
      </c>
      <c r="B73" s="21" t="s">
        <v>556</v>
      </c>
      <c r="C73" s="21" t="s">
        <v>557</v>
      </c>
      <c r="D73" s="21" t="s">
        <v>356</v>
      </c>
      <c r="E73" s="21" t="s">
        <v>558</v>
      </c>
      <c r="F73" s="21">
        <v>0</v>
      </c>
      <c r="G73" s="21">
        <v>1</v>
      </c>
      <c r="H73" s="21">
        <v>0</v>
      </c>
      <c r="I73" s="75">
        <v>0</v>
      </c>
      <c r="J73" s="21" t="s">
        <v>559</v>
      </c>
      <c r="M73" s="76" t="b">
        <v>1</v>
      </c>
      <c r="N73" s="76" t="b">
        <v>1</v>
      </c>
      <c r="O73" s="21">
        <v>0</v>
      </c>
      <c r="P73" s="21" t="s">
        <v>180</v>
      </c>
      <c r="R73" s="21" t="s">
        <v>62</v>
      </c>
      <c r="S73" s="21" t="s">
        <v>547</v>
      </c>
      <c r="T73" s="77" t="s">
        <v>33</v>
      </c>
      <c r="U73" s="77" t="s">
        <v>33</v>
      </c>
      <c r="V73" s="77" t="s">
        <v>560</v>
      </c>
      <c r="W73" s="21" t="s">
        <v>360</v>
      </c>
      <c r="X73" s="21" t="s">
        <v>101</v>
      </c>
      <c r="Y73" s="78" t="s">
        <v>561</v>
      </c>
    </row>
    <row r="74" spans="1:25" x14ac:dyDescent="0.2">
      <c r="A74" s="70">
        <v>73</v>
      </c>
      <c r="B74" s="30" t="s">
        <v>562</v>
      </c>
      <c r="C74" s="30" t="s">
        <v>563</v>
      </c>
      <c r="D74" s="30" t="s">
        <v>105</v>
      </c>
      <c r="E74" s="30" t="s">
        <v>564</v>
      </c>
      <c r="F74" s="30">
        <v>150</v>
      </c>
      <c r="G74" s="30">
        <v>300</v>
      </c>
      <c r="H74" s="30">
        <v>0</v>
      </c>
      <c r="I74" s="71">
        <v>5</v>
      </c>
      <c r="J74" s="30" t="s">
        <v>565</v>
      </c>
      <c r="L74" s="30" t="s">
        <v>566</v>
      </c>
      <c r="M74" s="32" t="b">
        <v>0</v>
      </c>
      <c r="N74" s="32" t="b">
        <v>0</v>
      </c>
      <c r="O74" s="30">
        <v>0</v>
      </c>
      <c r="P74" s="30" t="s">
        <v>122</v>
      </c>
      <c r="Q74" s="30" t="s">
        <v>567</v>
      </c>
      <c r="R74" s="30" t="s">
        <v>43</v>
      </c>
      <c r="S74" s="30" t="s">
        <v>547</v>
      </c>
      <c r="T74" s="72" t="s">
        <v>33</v>
      </c>
      <c r="U74" s="72" t="s">
        <v>33</v>
      </c>
      <c r="V74" s="72" t="s">
        <v>567</v>
      </c>
      <c r="W74" s="30" t="s">
        <v>111</v>
      </c>
      <c r="X74" s="30" t="s">
        <v>64</v>
      </c>
      <c r="Y74" s="73" t="s">
        <v>568</v>
      </c>
    </row>
    <row r="75" spans="1:25" x14ac:dyDescent="0.2">
      <c r="A75" s="74">
        <v>74</v>
      </c>
      <c r="B75" s="21" t="s">
        <v>569</v>
      </c>
      <c r="C75" s="21" t="s">
        <v>570</v>
      </c>
      <c r="D75" s="21" t="s">
        <v>40</v>
      </c>
      <c r="E75" s="21" t="s">
        <v>571</v>
      </c>
      <c r="F75" s="21">
        <v>200</v>
      </c>
      <c r="G75" s="21">
        <v>300</v>
      </c>
      <c r="H75" s="21">
        <v>0</v>
      </c>
      <c r="I75" s="75">
        <v>5</v>
      </c>
      <c r="J75" s="21" t="s">
        <v>572</v>
      </c>
      <c r="M75" s="76" t="b">
        <v>0</v>
      </c>
      <c r="N75" s="76" t="b">
        <v>0</v>
      </c>
      <c r="O75" s="21">
        <v>50</v>
      </c>
      <c r="P75" s="21" t="s">
        <v>180</v>
      </c>
      <c r="Q75" s="21" t="s">
        <v>567</v>
      </c>
      <c r="R75" s="21" t="s">
        <v>366</v>
      </c>
      <c r="S75" s="21" t="s">
        <v>547</v>
      </c>
      <c r="T75" s="77" t="s">
        <v>33</v>
      </c>
      <c r="U75" s="77" t="s">
        <v>33</v>
      </c>
      <c r="V75" s="77" t="s">
        <v>573</v>
      </c>
      <c r="W75" s="21" t="s">
        <v>111</v>
      </c>
      <c r="X75" s="21" t="s">
        <v>82</v>
      </c>
      <c r="Y75" s="78" t="s">
        <v>574</v>
      </c>
    </row>
    <row r="76" spans="1:25" x14ac:dyDescent="0.2">
      <c r="A76" s="70">
        <v>75</v>
      </c>
      <c r="B76" s="30" t="s">
        <v>575</v>
      </c>
      <c r="C76" s="30" t="s">
        <v>576</v>
      </c>
      <c r="D76" s="30" t="s">
        <v>59</v>
      </c>
      <c r="E76" s="30" t="s">
        <v>577</v>
      </c>
      <c r="F76" s="30">
        <v>400</v>
      </c>
      <c r="G76" s="30">
        <v>300</v>
      </c>
      <c r="H76" s="30">
        <v>200</v>
      </c>
      <c r="I76" s="71">
        <v>5</v>
      </c>
      <c r="J76" s="30" t="s">
        <v>578</v>
      </c>
      <c r="M76" s="32" t="b">
        <v>0</v>
      </c>
      <c r="N76" s="32" t="b">
        <v>0</v>
      </c>
      <c r="O76" s="30">
        <v>0</v>
      </c>
      <c r="P76" s="30" t="s">
        <v>180</v>
      </c>
      <c r="Q76" s="30" t="s">
        <v>226</v>
      </c>
      <c r="R76" s="30" t="s">
        <v>187</v>
      </c>
      <c r="S76" s="30" t="s">
        <v>547</v>
      </c>
      <c r="T76" s="72" t="s">
        <v>33</v>
      </c>
      <c r="U76" s="72" t="s">
        <v>3255</v>
      </c>
      <c r="V76" s="72" t="s">
        <v>579</v>
      </c>
      <c r="W76" s="30" t="s">
        <v>35</v>
      </c>
      <c r="X76" s="30" t="s">
        <v>168</v>
      </c>
      <c r="Y76" s="73" t="s">
        <v>580</v>
      </c>
    </row>
    <row r="77" spans="1:25" x14ac:dyDescent="0.2">
      <c r="A77" s="74">
        <v>76</v>
      </c>
      <c r="B77" s="21" t="s">
        <v>531</v>
      </c>
      <c r="C77" s="21" t="s">
        <v>581</v>
      </c>
      <c r="D77" s="21" t="s">
        <v>78</v>
      </c>
      <c r="E77" s="21" t="s">
        <v>582</v>
      </c>
      <c r="F77" s="21">
        <v>175</v>
      </c>
      <c r="G77" s="21">
        <v>300</v>
      </c>
      <c r="H77" s="21">
        <v>30</v>
      </c>
      <c r="I77" s="75">
        <v>5</v>
      </c>
      <c r="J77" s="21" t="s">
        <v>583</v>
      </c>
      <c r="L77" s="21" t="s">
        <v>584</v>
      </c>
      <c r="M77" s="76" t="b">
        <v>0</v>
      </c>
      <c r="N77" s="76" t="b">
        <v>0</v>
      </c>
      <c r="O77" s="21">
        <v>0</v>
      </c>
      <c r="P77" s="21" t="s">
        <v>122</v>
      </c>
      <c r="Q77" s="21" t="s">
        <v>148</v>
      </c>
      <c r="R77" s="21" t="s">
        <v>531</v>
      </c>
      <c r="S77" s="21" t="s">
        <v>547</v>
      </c>
      <c r="T77" s="77" t="s">
        <v>33</v>
      </c>
      <c r="U77" s="77" t="s">
        <v>3256</v>
      </c>
      <c r="V77" s="77" t="s">
        <v>585</v>
      </c>
      <c r="W77" s="21" t="s">
        <v>35</v>
      </c>
      <c r="X77" s="21" t="s">
        <v>64</v>
      </c>
      <c r="Y77" s="78" t="s">
        <v>586</v>
      </c>
    </row>
    <row r="78" spans="1:25" x14ac:dyDescent="0.2">
      <c r="A78" s="70">
        <v>77</v>
      </c>
      <c r="B78" s="30" t="s">
        <v>587</v>
      </c>
      <c r="C78" s="30" t="s">
        <v>588</v>
      </c>
      <c r="D78" s="30" t="s">
        <v>216</v>
      </c>
      <c r="E78" s="30" t="s">
        <v>589</v>
      </c>
      <c r="F78" s="30">
        <v>150</v>
      </c>
      <c r="G78" s="30">
        <v>300</v>
      </c>
      <c r="H78" s="30">
        <v>5000</v>
      </c>
      <c r="I78" s="71">
        <v>45</v>
      </c>
      <c r="J78" s="30" t="s">
        <v>590</v>
      </c>
      <c r="M78" s="32" t="b">
        <v>0</v>
      </c>
      <c r="N78" s="32" t="b">
        <v>0</v>
      </c>
      <c r="O78" s="30">
        <v>0</v>
      </c>
      <c r="P78" s="30" t="s">
        <v>180</v>
      </c>
      <c r="R78" s="30" t="s">
        <v>187</v>
      </c>
      <c r="S78" s="30" t="s">
        <v>547</v>
      </c>
      <c r="T78" s="72" t="s">
        <v>33</v>
      </c>
      <c r="U78" s="72" t="s">
        <v>33</v>
      </c>
      <c r="V78" s="72" t="s">
        <v>591</v>
      </c>
      <c r="W78" s="30" t="s">
        <v>35</v>
      </c>
      <c r="X78" s="30" t="s">
        <v>82</v>
      </c>
      <c r="Y78" s="73" t="s">
        <v>592</v>
      </c>
    </row>
    <row r="79" spans="1:25" x14ac:dyDescent="0.2">
      <c r="A79" s="74">
        <v>78</v>
      </c>
      <c r="B79" s="21" t="s">
        <v>593</v>
      </c>
      <c r="C79" s="21" t="s">
        <v>594</v>
      </c>
      <c r="D79" s="21" t="s">
        <v>135</v>
      </c>
      <c r="E79" s="21" t="s">
        <v>595</v>
      </c>
      <c r="F79" s="21">
        <v>225</v>
      </c>
      <c r="G79" s="21">
        <v>300</v>
      </c>
      <c r="H79" s="21">
        <v>300</v>
      </c>
      <c r="I79" s="75">
        <v>20</v>
      </c>
      <c r="J79" s="21" t="s">
        <v>596</v>
      </c>
      <c r="L79" s="21" t="s">
        <v>597</v>
      </c>
      <c r="M79" s="76" t="b">
        <v>0</v>
      </c>
      <c r="N79" s="76" t="b">
        <v>0</v>
      </c>
      <c r="O79" s="21">
        <v>0</v>
      </c>
      <c r="P79" s="21" t="s">
        <v>180</v>
      </c>
      <c r="Q79" s="21" t="s">
        <v>226</v>
      </c>
      <c r="R79" s="21" t="s">
        <v>270</v>
      </c>
      <c r="S79" s="21" t="s">
        <v>547</v>
      </c>
      <c r="T79" s="77" t="s">
        <v>33</v>
      </c>
      <c r="U79" s="77" t="s">
        <v>33</v>
      </c>
      <c r="V79" s="77" t="s">
        <v>598</v>
      </c>
      <c r="W79" s="21" t="s">
        <v>111</v>
      </c>
      <c r="X79" s="21" t="s">
        <v>82</v>
      </c>
      <c r="Y79" s="78" t="s">
        <v>599</v>
      </c>
    </row>
    <row r="80" spans="1:25" x14ac:dyDescent="0.2">
      <c r="A80" s="70">
        <v>79</v>
      </c>
      <c r="B80" s="30" t="s">
        <v>600</v>
      </c>
      <c r="C80" s="30" t="s">
        <v>601</v>
      </c>
      <c r="D80" s="30" t="s">
        <v>59</v>
      </c>
      <c r="E80" s="30" t="s">
        <v>602</v>
      </c>
      <c r="F80" s="30">
        <v>150</v>
      </c>
      <c r="G80" s="30">
        <v>0</v>
      </c>
      <c r="H80" s="30">
        <v>1800</v>
      </c>
      <c r="I80" s="71">
        <v>35</v>
      </c>
      <c r="J80" s="30" t="s">
        <v>97</v>
      </c>
      <c r="M80" s="32" t="b">
        <v>1</v>
      </c>
      <c r="N80" s="32" t="b">
        <v>1</v>
      </c>
      <c r="O80" s="30">
        <v>0</v>
      </c>
      <c r="P80" s="30" t="s">
        <v>180</v>
      </c>
      <c r="Q80" s="30" t="s">
        <v>603</v>
      </c>
      <c r="R80" s="30" t="s">
        <v>187</v>
      </c>
      <c r="S80" s="30" t="s">
        <v>547</v>
      </c>
      <c r="T80" s="72" t="s">
        <v>33</v>
      </c>
      <c r="U80" s="72" t="s">
        <v>33</v>
      </c>
      <c r="V80" s="72" t="s">
        <v>604</v>
      </c>
      <c r="W80" s="30" t="s">
        <v>11</v>
      </c>
      <c r="X80" s="30" t="s">
        <v>605</v>
      </c>
      <c r="Y80" s="73" t="s">
        <v>606</v>
      </c>
    </row>
    <row r="81" spans="1:25" x14ac:dyDescent="0.2">
      <c r="A81" s="74">
        <v>80</v>
      </c>
      <c r="B81" s="21" t="s">
        <v>607</v>
      </c>
      <c r="C81" s="21" t="s">
        <v>608</v>
      </c>
      <c r="D81" s="21" t="s">
        <v>86</v>
      </c>
      <c r="E81" s="21" t="s">
        <v>609</v>
      </c>
      <c r="F81" s="21">
        <v>150</v>
      </c>
      <c r="G81" s="21">
        <v>300</v>
      </c>
      <c r="H81" s="21">
        <v>30</v>
      </c>
      <c r="I81" s="75">
        <v>5</v>
      </c>
      <c r="J81" s="21" t="s">
        <v>610</v>
      </c>
      <c r="K81" s="21" t="s">
        <v>611</v>
      </c>
      <c r="M81" s="76" t="b">
        <v>0</v>
      </c>
      <c r="N81" s="76" t="b">
        <v>0</v>
      </c>
      <c r="O81" s="21">
        <v>0</v>
      </c>
      <c r="P81" s="21" t="s">
        <v>180</v>
      </c>
      <c r="Q81" s="21" t="s">
        <v>612</v>
      </c>
      <c r="R81" s="21" t="s">
        <v>43</v>
      </c>
      <c r="S81" s="21" t="s">
        <v>547</v>
      </c>
      <c r="T81" s="77" t="s">
        <v>33</v>
      </c>
      <c r="U81" s="77" t="s">
        <v>33</v>
      </c>
      <c r="V81" s="77" t="s">
        <v>613</v>
      </c>
      <c r="W81" s="21" t="s">
        <v>111</v>
      </c>
      <c r="X81" s="21" t="s">
        <v>168</v>
      </c>
      <c r="Y81" s="78" t="s">
        <v>614</v>
      </c>
    </row>
    <row r="82" spans="1:25" x14ac:dyDescent="0.2">
      <c r="A82" s="70">
        <v>81</v>
      </c>
      <c r="B82" s="30" t="s">
        <v>615</v>
      </c>
      <c r="C82" s="30" t="s">
        <v>616</v>
      </c>
      <c r="D82" s="30" t="s">
        <v>59</v>
      </c>
      <c r="E82" s="30" t="s">
        <v>617</v>
      </c>
      <c r="F82" s="30">
        <v>50</v>
      </c>
      <c r="G82" s="30">
        <v>300</v>
      </c>
      <c r="H82" s="30">
        <v>1800</v>
      </c>
      <c r="I82" s="71">
        <v>20</v>
      </c>
      <c r="J82" s="30" t="s">
        <v>618</v>
      </c>
      <c r="K82" s="30" t="s">
        <v>619</v>
      </c>
      <c r="M82" s="32" t="b">
        <v>0</v>
      </c>
      <c r="N82" s="32" t="b">
        <v>0</v>
      </c>
      <c r="O82" s="30">
        <v>0</v>
      </c>
      <c r="P82" s="30" t="s">
        <v>122</v>
      </c>
      <c r="Q82" s="30" t="s">
        <v>157</v>
      </c>
      <c r="R82" s="30" t="s">
        <v>62</v>
      </c>
      <c r="S82" s="30" t="s">
        <v>547</v>
      </c>
      <c r="T82" s="72" t="s">
        <v>33</v>
      </c>
      <c r="U82" s="72" t="s">
        <v>33</v>
      </c>
      <c r="V82" s="72" t="s">
        <v>620</v>
      </c>
      <c r="W82" s="30" t="s">
        <v>11</v>
      </c>
      <c r="X82" s="30" t="s">
        <v>168</v>
      </c>
      <c r="Y82" s="73" t="s">
        <v>621</v>
      </c>
    </row>
    <row r="83" spans="1:25" x14ac:dyDescent="0.2">
      <c r="A83" s="74">
        <v>82</v>
      </c>
      <c r="B83" s="21" t="s">
        <v>622</v>
      </c>
      <c r="C83" s="21" t="s">
        <v>623</v>
      </c>
      <c r="D83" s="21" t="s">
        <v>40</v>
      </c>
      <c r="E83" s="21" t="s">
        <v>624</v>
      </c>
      <c r="F83" s="21">
        <v>0</v>
      </c>
      <c r="G83" s="21">
        <v>1</v>
      </c>
      <c r="H83" s="21">
        <v>0</v>
      </c>
      <c r="I83" s="75">
        <v>75</v>
      </c>
      <c r="J83" s="21" t="s">
        <v>97</v>
      </c>
      <c r="M83" s="76" t="b">
        <v>1</v>
      </c>
      <c r="N83" s="76" t="b">
        <v>1</v>
      </c>
      <c r="O83" s="21">
        <v>375</v>
      </c>
      <c r="P83" s="21" t="s">
        <v>180</v>
      </c>
      <c r="R83" s="21" t="s">
        <v>72</v>
      </c>
      <c r="S83" s="21" t="s">
        <v>547</v>
      </c>
      <c r="T83" s="77" t="s">
        <v>33</v>
      </c>
      <c r="U83" s="77" t="s">
        <v>33</v>
      </c>
      <c r="V83" s="77" t="s">
        <v>625</v>
      </c>
      <c r="W83" s="21" t="s">
        <v>45</v>
      </c>
      <c r="X83" s="21" t="s">
        <v>168</v>
      </c>
      <c r="Y83" s="78" t="s">
        <v>626</v>
      </c>
    </row>
    <row r="84" spans="1:25" x14ac:dyDescent="0.2">
      <c r="A84" s="70">
        <v>83</v>
      </c>
      <c r="B84" s="30" t="s">
        <v>627</v>
      </c>
      <c r="C84" s="30" t="s">
        <v>628</v>
      </c>
      <c r="D84" s="30" t="s">
        <v>105</v>
      </c>
      <c r="E84" s="30" t="s">
        <v>629</v>
      </c>
      <c r="F84" s="30">
        <v>150</v>
      </c>
      <c r="G84" s="30">
        <v>300</v>
      </c>
      <c r="H84" s="30">
        <v>40</v>
      </c>
      <c r="I84" s="71">
        <v>5</v>
      </c>
      <c r="J84" s="30" t="s">
        <v>630</v>
      </c>
      <c r="L84" s="30" t="s">
        <v>631</v>
      </c>
      <c r="M84" s="32" t="b">
        <v>0</v>
      </c>
      <c r="N84" s="32" t="b">
        <v>0</v>
      </c>
      <c r="O84" s="30">
        <v>0</v>
      </c>
      <c r="P84" s="30" t="s">
        <v>180</v>
      </c>
      <c r="Q84" s="30" t="s">
        <v>632</v>
      </c>
      <c r="R84" s="30" t="s">
        <v>62</v>
      </c>
      <c r="S84" s="30" t="s">
        <v>547</v>
      </c>
      <c r="T84" s="72" t="s">
        <v>33</v>
      </c>
      <c r="U84" s="72" t="s">
        <v>33</v>
      </c>
      <c r="V84" s="72" t="s">
        <v>633</v>
      </c>
      <c r="W84" s="30" t="s">
        <v>111</v>
      </c>
      <c r="X84" s="30" t="s">
        <v>168</v>
      </c>
      <c r="Y84" s="73" t="s">
        <v>634</v>
      </c>
    </row>
    <row r="85" spans="1:25" x14ac:dyDescent="0.2">
      <c r="A85" s="74">
        <v>84</v>
      </c>
      <c r="B85" s="21" t="s">
        <v>635</v>
      </c>
      <c r="C85" s="21" t="s">
        <v>636</v>
      </c>
      <c r="D85" s="21" t="s">
        <v>68</v>
      </c>
      <c r="E85" s="21" t="s">
        <v>637</v>
      </c>
      <c r="F85" s="21">
        <v>250</v>
      </c>
      <c r="G85" s="21">
        <v>300</v>
      </c>
      <c r="H85" s="21">
        <v>30</v>
      </c>
      <c r="I85" s="75">
        <v>8</v>
      </c>
      <c r="J85" s="21" t="s">
        <v>638</v>
      </c>
      <c r="M85" s="76" t="b">
        <v>0</v>
      </c>
      <c r="N85" s="76" t="b">
        <v>0</v>
      </c>
      <c r="O85" s="21">
        <v>0</v>
      </c>
      <c r="P85" s="21" t="s">
        <v>180</v>
      </c>
      <c r="Q85" s="21" t="s">
        <v>269</v>
      </c>
      <c r="R85" s="21" t="s">
        <v>130</v>
      </c>
      <c r="S85" s="21" t="s">
        <v>547</v>
      </c>
      <c r="T85" s="77" t="s">
        <v>33</v>
      </c>
      <c r="U85" s="77" t="s">
        <v>33</v>
      </c>
      <c r="V85" s="77" t="s">
        <v>639</v>
      </c>
      <c r="W85" s="21" t="s">
        <v>35</v>
      </c>
      <c r="X85" s="21" t="s">
        <v>168</v>
      </c>
      <c r="Y85" s="78" t="s">
        <v>640</v>
      </c>
    </row>
    <row r="86" spans="1:25" x14ac:dyDescent="0.2">
      <c r="A86" s="70">
        <v>85</v>
      </c>
      <c r="B86" s="30" t="s">
        <v>641</v>
      </c>
      <c r="C86" s="30" t="s">
        <v>642</v>
      </c>
      <c r="D86" s="30" t="s">
        <v>356</v>
      </c>
      <c r="E86" s="30" t="s">
        <v>643</v>
      </c>
      <c r="F86" s="30">
        <v>200</v>
      </c>
      <c r="G86" s="30">
        <v>300</v>
      </c>
      <c r="H86" s="30">
        <v>1200</v>
      </c>
      <c r="I86" s="71">
        <v>30</v>
      </c>
      <c r="J86" s="30" t="s">
        <v>644</v>
      </c>
      <c r="L86" s="30" t="s">
        <v>645</v>
      </c>
      <c r="M86" s="32" t="b">
        <v>0</v>
      </c>
      <c r="N86" s="32" t="b">
        <v>0</v>
      </c>
      <c r="O86" s="30">
        <v>0</v>
      </c>
      <c r="P86" s="30" t="s">
        <v>180</v>
      </c>
      <c r="Q86" s="30" t="s">
        <v>157</v>
      </c>
      <c r="R86" s="30" t="s">
        <v>72</v>
      </c>
      <c r="S86" s="30" t="s">
        <v>547</v>
      </c>
      <c r="T86" s="72" t="s">
        <v>33</v>
      </c>
      <c r="U86" s="72" t="s">
        <v>33</v>
      </c>
      <c r="V86" s="72" t="s">
        <v>646</v>
      </c>
      <c r="W86" s="30" t="s">
        <v>35</v>
      </c>
      <c r="X86" s="30" t="s">
        <v>82</v>
      </c>
      <c r="Y86" s="73" t="s">
        <v>647</v>
      </c>
    </row>
    <row r="87" spans="1:25" x14ac:dyDescent="0.2">
      <c r="A87" s="74">
        <v>86</v>
      </c>
      <c r="B87" s="21" t="s">
        <v>648</v>
      </c>
      <c r="C87" s="21" t="s">
        <v>649</v>
      </c>
      <c r="D87" s="21" t="s">
        <v>105</v>
      </c>
      <c r="E87" s="21" t="s">
        <v>650</v>
      </c>
      <c r="F87" s="21">
        <v>150</v>
      </c>
      <c r="G87" s="21">
        <v>300</v>
      </c>
      <c r="H87" s="21">
        <v>80</v>
      </c>
      <c r="I87" s="75">
        <v>5</v>
      </c>
      <c r="J87" s="21" t="s">
        <v>651</v>
      </c>
      <c r="M87" s="76" t="b">
        <v>0</v>
      </c>
      <c r="N87" s="76" t="b">
        <v>0</v>
      </c>
      <c r="O87" s="21">
        <v>0</v>
      </c>
      <c r="P87" s="21" t="s">
        <v>122</v>
      </c>
      <c r="R87" s="21" t="s">
        <v>62</v>
      </c>
      <c r="S87" s="21" t="s">
        <v>547</v>
      </c>
      <c r="T87" s="77" t="s">
        <v>33</v>
      </c>
      <c r="U87" s="77" t="s">
        <v>33</v>
      </c>
      <c r="V87" s="77" t="s">
        <v>652</v>
      </c>
      <c r="W87" s="21" t="s">
        <v>111</v>
      </c>
      <c r="X87" s="21" t="s">
        <v>168</v>
      </c>
      <c r="Y87" s="78" t="s">
        <v>653</v>
      </c>
    </row>
    <row r="88" spans="1:25" x14ac:dyDescent="0.2">
      <c r="A88" s="70">
        <v>87</v>
      </c>
      <c r="B88" s="30" t="s">
        <v>654</v>
      </c>
      <c r="C88" s="30" t="s">
        <v>655</v>
      </c>
      <c r="D88" s="30" t="s">
        <v>86</v>
      </c>
      <c r="E88" s="30" t="s">
        <v>656</v>
      </c>
      <c r="F88" s="30">
        <v>500</v>
      </c>
      <c r="G88" s="30">
        <v>300</v>
      </c>
      <c r="H88" s="30">
        <v>1200</v>
      </c>
      <c r="I88" s="71">
        <v>5</v>
      </c>
      <c r="J88" s="30" t="s">
        <v>657</v>
      </c>
      <c r="K88" s="30" t="s">
        <v>658</v>
      </c>
      <c r="L88" s="30" t="s">
        <v>500</v>
      </c>
      <c r="M88" s="32" t="b">
        <v>0</v>
      </c>
      <c r="N88" s="32" t="b">
        <v>0</v>
      </c>
      <c r="O88" s="30">
        <v>0</v>
      </c>
      <c r="P88" s="30" t="s">
        <v>122</v>
      </c>
      <c r="Q88" s="30" t="s">
        <v>240</v>
      </c>
      <c r="R88" s="30" t="s">
        <v>72</v>
      </c>
      <c r="S88" s="30" t="s">
        <v>547</v>
      </c>
      <c r="T88" s="72" t="s">
        <v>33</v>
      </c>
      <c r="U88" s="72" t="s">
        <v>33</v>
      </c>
      <c r="V88" s="72" t="s">
        <v>659</v>
      </c>
      <c r="W88" s="30" t="s">
        <v>35</v>
      </c>
      <c r="X88" s="30" t="s">
        <v>168</v>
      </c>
      <c r="Y88" s="73" t="s">
        <v>660</v>
      </c>
    </row>
    <row r="89" spans="1:25" x14ac:dyDescent="0.2">
      <c r="A89" s="74">
        <v>88</v>
      </c>
      <c r="B89" s="21" t="s">
        <v>661</v>
      </c>
      <c r="C89" s="21" t="s">
        <v>662</v>
      </c>
      <c r="D89" s="21" t="s">
        <v>356</v>
      </c>
      <c r="E89" s="21" t="s">
        <v>663</v>
      </c>
      <c r="F89" s="21">
        <v>250</v>
      </c>
      <c r="G89" s="21">
        <v>300</v>
      </c>
      <c r="H89" s="21">
        <v>0</v>
      </c>
      <c r="I89" s="75">
        <v>45</v>
      </c>
      <c r="J89" s="21" t="s">
        <v>664</v>
      </c>
      <c r="L89" s="21" t="s">
        <v>665</v>
      </c>
      <c r="M89" s="76" t="b">
        <v>0</v>
      </c>
      <c r="N89" s="76" t="b">
        <v>0</v>
      </c>
      <c r="O89" s="21">
        <v>0</v>
      </c>
      <c r="P89" s="21" t="s">
        <v>666</v>
      </c>
      <c r="Q89" s="21" t="s">
        <v>277</v>
      </c>
      <c r="R89" s="21" t="s">
        <v>72</v>
      </c>
      <c r="S89" s="21" t="s">
        <v>547</v>
      </c>
      <c r="T89" s="77" t="s">
        <v>33</v>
      </c>
      <c r="U89" s="77" t="s">
        <v>33</v>
      </c>
      <c r="V89" s="77" t="s">
        <v>667</v>
      </c>
      <c r="W89" s="21" t="s">
        <v>35</v>
      </c>
      <c r="X89" s="21" t="s">
        <v>168</v>
      </c>
      <c r="Y89" s="78" t="s">
        <v>668</v>
      </c>
    </row>
    <row r="90" spans="1:25" x14ac:dyDescent="0.2">
      <c r="A90" s="70">
        <v>89</v>
      </c>
      <c r="B90" s="30" t="s">
        <v>669</v>
      </c>
      <c r="C90" s="30" t="s">
        <v>670</v>
      </c>
      <c r="D90" s="30" t="s">
        <v>216</v>
      </c>
      <c r="E90" s="30" t="s">
        <v>671</v>
      </c>
      <c r="F90" s="30">
        <v>200</v>
      </c>
      <c r="G90" s="30">
        <v>300</v>
      </c>
      <c r="H90" s="30">
        <v>20</v>
      </c>
      <c r="I90" s="71">
        <v>5</v>
      </c>
      <c r="J90" s="30" t="s">
        <v>672</v>
      </c>
      <c r="M90" s="32" t="b">
        <v>0</v>
      </c>
      <c r="N90" s="32" t="b">
        <v>0</v>
      </c>
      <c r="O90" s="30">
        <v>0</v>
      </c>
      <c r="P90" s="30" t="s">
        <v>268</v>
      </c>
      <c r="Q90" s="30" t="s">
        <v>219</v>
      </c>
      <c r="R90" s="30" t="s">
        <v>31</v>
      </c>
      <c r="S90" s="30" t="s">
        <v>547</v>
      </c>
      <c r="T90" s="72" t="s">
        <v>33</v>
      </c>
      <c r="U90" s="72" t="s">
        <v>33</v>
      </c>
      <c r="V90" s="72" t="s">
        <v>673</v>
      </c>
      <c r="W90" s="30" t="s">
        <v>35</v>
      </c>
      <c r="X90" s="30" t="s">
        <v>674</v>
      </c>
      <c r="Y90" s="73" t="s">
        <v>675</v>
      </c>
    </row>
    <row r="91" spans="1:25" x14ac:dyDescent="0.2">
      <c r="A91" s="74">
        <v>90</v>
      </c>
      <c r="B91" s="21" t="s">
        <v>676</v>
      </c>
      <c r="C91" s="21" t="s">
        <v>677</v>
      </c>
      <c r="D91" s="21" t="s">
        <v>49</v>
      </c>
      <c r="E91" s="21" t="s">
        <v>678</v>
      </c>
      <c r="F91" s="21">
        <v>150</v>
      </c>
      <c r="G91" s="21">
        <v>3000</v>
      </c>
      <c r="H91" s="21">
        <v>20</v>
      </c>
      <c r="I91" s="75">
        <v>15</v>
      </c>
      <c r="J91" s="21" t="s">
        <v>679</v>
      </c>
      <c r="K91" s="21" t="s">
        <v>680</v>
      </c>
      <c r="L91" s="21" t="s">
        <v>681</v>
      </c>
      <c r="M91" s="76" t="b">
        <v>0</v>
      </c>
      <c r="N91" s="76" t="b">
        <v>0</v>
      </c>
      <c r="O91" s="21">
        <v>0</v>
      </c>
      <c r="P91" s="21" t="s">
        <v>122</v>
      </c>
      <c r="Q91" s="21" t="s">
        <v>295</v>
      </c>
      <c r="R91" s="21" t="s">
        <v>187</v>
      </c>
      <c r="S91" s="21" t="s">
        <v>547</v>
      </c>
      <c r="T91" s="77" t="s">
        <v>3257</v>
      </c>
      <c r="U91" s="77" t="s">
        <v>33</v>
      </c>
      <c r="V91" s="77" t="s">
        <v>682</v>
      </c>
      <c r="W91" s="21" t="s">
        <v>54</v>
      </c>
      <c r="X91" s="21" t="s">
        <v>168</v>
      </c>
      <c r="Y91" s="78" t="s">
        <v>683</v>
      </c>
    </row>
    <row r="92" spans="1:25" x14ac:dyDescent="0.2">
      <c r="A92" s="70">
        <v>91</v>
      </c>
      <c r="B92" s="30" t="s">
        <v>684</v>
      </c>
      <c r="C92" s="30" t="s">
        <v>685</v>
      </c>
      <c r="D92" s="30" t="s">
        <v>105</v>
      </c>
      <c r="E92" s="30" t="s">
        <v>686</v>
      </c>
      <c r="F92" s="30">
        <v>50</v>
      </c>
      <c r="G92" s="30">
        <v>1</v>
      </c>
      <c r="H92" s="30">
        <v>1800</v>
      </c>
      <c r="I92" s="71">
        <v>20</v>
      </c>
      <c r="J92" s="30" t="s">
        <v>687</v>
      </c>
      <c r="K92" s="30" t="s">
        <v>688</v>
      </c>
      <c r="L92" s="30" t="s">
        <v>689</v>
      </c>
      <c r="M92" s="32" t="b">
        <v>1</v>
      </c>
      <c r="N92" s="32" t="b">
        <v>0</v>
      </c>
      <c r="O92" s="30">
        <v>0</v>
      </c>
      <c r="P92" s="30" t="s">
        <v>122</v>
      </c>
      <c r="Q92" s="30" t="s">
        <v>690</v>
      </c>
      <c r="R92" s="30" t="s">
        <v>270</v>
      </c>
      <c r="S92" s="30" t="s">
        <v>691</v>
      </c>
      <c r="T92" s="72" t="s">
        <v>33</v>
      </c>
      <c r="U92" s="72" t="s">
        <v>33</v>
      </c>
      <c r="V92" s="72" t="s">
        <v>692</v>
      </c>
      <c r="W92" s="30" t="s">
        <v>111</v>
      </c>
      <c r="X92" s="30" t="s">
        <v>693</v>
      </c>
      <c r="Y92" s="73" t="s">
        <v>694</v>
      </c>
    </row>
    <row r="93" spans="1:25" x14ac:dyDescent="0.2">
      <c r="A93" s="74">
        <v>92</v>
      </c>
      <c r="B93" s="21" t="s">
        <v>695</v>
      </c>
      <c r="C93" s="21" t="s">
        <v>696</v>
      </c>
      <c r="D93" s="21" t="s">
        <v>135</v>
      </c>
      <c r="E93" s="21" t="s">
        <v>697</v>
      </c>
      <c r="F93" s="21">
        <v>125</v>
      </c>
      <c r="G93" s="21">
        <v>1</v>
      </c>
      <c r="H93" s="21">
        <v>1800</v>
      </c>
      <c r="I93" s="75">
        <v>35</v>
      </c>
      <c r="J93" s="21" t="s">
        <v>97</v>
      </c>
      <c r="M93" s="76" t="b">
        <v>1</v>
      </c>
      <c r="N93" s="76" t="b">
        <v>1</v>
      </c>
      <c r="O93" s="21">
        <v>0</v>
      </c>
      <c r="P93" s="21" t="s">
        <v>122</v>
      </c>
      <c r="Q93" s="21" t="s">
        <v>226</v>
      </c>
      <c r="R93" s="21" t="s">
        <v>698</v>
      </c>
      <c r="S93" s="21" t="s">
        <v>691</v>
      </c>
      <c r="T93" s="77" t="s">
        <v>33</v>
      </c>
      <c r="U93" s="77" t="s">
        <v>33</v>
      </c>
      <c r="V93" s="77" t="s">
        <v>699</v>
      </c>
      <c r="W93" s="21" t="s">
        <v>11</v>
      </c>
      <c r="X93" s="21" t="s">
        <v>478</v>
      </c>
      <c r="Y93" s="78" t="s">
        <v>700</v>
      </c>
    </row>
    <row r="94" spans="1:25" x14ac:dyDescent="0.2">
      <c r="A94" s="70">
        <v>93</v>
      </c>
      <c r="B94" s="30" t="s">
        <v>701</v>
      </c>
      <c r="C94" s="30" t="s">
        <v>702</v>
      </c>
      <c r="D94" s="30" t="s">
        <v>356</v>
      </c>
      <c r="E94" s="30" t="s">
        <v>703</v>
      </c>
      <c r="F94" s="30">
        <v>125</v>
      </c>
      <c r="G94" s="30">
        <v>1</v>
      </c>
      <c r="H94" s="30">
        <v>0</v>
      </c>
      <c r="I94" s="71">
        <v>20</v>
      </c>
      <c r="J94" s="30" t="s">
        <v>704</v>
      </c>
      <c r="M94" s="32" t="b">
        <v>1</v>
      </c>
      <c r="N94" s="32" t="b">
        <v>0</v>
      </c>
      <c r="O94" s="30">
        <v>0</v>
      </c>
      <c r="P94" s="30" t="s">
        <v>122</v>
      </c>
      <c r="Q94" s="30" t="s">
        <v>157</v>
      </c>
      <c r="R94" s="30" t="s">
        <v>366</v>
      </c>
      <c r="S94" s="30" t="s">
        <v>691</v>
      </c>
      <c r="T94" s="72" t="s">
        <v>33</v>
      </c>
      <c r="U94" s="72" t="s">
        <v>33</v>
      </c>
      <c r="V94" s="72" t="s">
        <v>705</v>
      </c>
      <c r="W94" s="30" t="s">
        <v>11</v>
      </c>
      <c r="X94" s="30" t="s">
        <v>706</v>
      </c>
      <c r="Y94" s="73" t="s">
        <v>707</v>
      </c>
    </row>
    <row r="95" spans="1:25" x14ac:dyDescent="0.2">
      <c r="A95" s="74">
        <v>94</v>
      </c>
      <c r="B95" s="21" t="s">
        <v>708</v>
      </c>
      <c r="C95" s="21" t="s">
        <v>709</v>
      </c>
      <c r="D95" s="21" t="s">
        <v>49</v>
      </c>
      <c r="E95" s="21" t="s">
        <v>710</v>
      </c>
      <c r="F95" s="21">
        <v>150</v>
      </c>
      <c r="G95" s="21">
        <v>4000</v>
      </c>
      <c r="H95" s="21">
        <v>20</v>
      </c>
      <c r="I95" s="75">
        <v>15</v>
      </c>
      <c r="J95" s="21" t="s">
        <v>711</v>
      </c>
      <c r="M95" s="76" t="b">
        <v>0</v>
      </c>
      <c r="N95" s="76" t="b">
        <v>0</v>
      </c>
      <c r="O95" s="21">
        <v>0</v>
      </c>
      <c r="P95" s="21" t="s">
        <v>122</v>
      </c>
      <c r="R95" s="21" t="s">
        <v>52</v>
      </c>
      <c r="S95" s="21" t="s">
        <v>691</v>
      </c>
      <c r="T95" s="77" t="s">
        <v>33</v>
      </c>
      <c r="U95" s="77" t="s">
        <v>33</v>
      </c>
      <c r="V95" s="77" t="s">
        <v>712</v>
      </c>
      <c r="W95" s="21" t="s">
        <v>35</v>
      </c>
      <c r="X95" s="21" t="s">
        <v>82</v>
      </c>
      <c r="Y95" s="78" t="s">
        <v>713</v>
      </c>
    </row>
    <row r="96" spans="1:25" x14ac:dyDescent="0.2">
      <c r="A96" s="70">
        <v>95</v>
      </c>
      <c r="B96" s="30" t="s">
        <v>714</v>
      </c>
      <c r="C96" s="30" t="s">
        <v>715</v>
      </c>
      <c r="D96" s="30" t="s">
        <v>78</v>
      </c>
      <c r="E96" s="30" t="s">
        <v>716</v>
      </c>
      <c r="F96" s="30">
        <v>250</v>
      </c>
      <c r="G96" s="30">
        <v>300</v>
      </c>
      <c r="H96" s="30">
        <v>40</v>
      </c>
      <c r="I96" s="71">
        <v>15</v>
      </c>
      <c r="J96" s="30" t="s">
        <v>717</v>
      </c>
      <c r="M96" s="32" t="b">
        <v>0</v>
      </c>
      <c r="N96" s="32" t="b">
        <v>0</v>
      </c>
      <c r="O96" s="30">
        <v>0</v>
      </c>
      <c r="P96" s="30" t="s">
        <v>122</v>
      </c>
      <c r="Q96" s="30" t="s">
        <v>718</v>
      </c>
      <c r="R96" s="30" t="s">
        <v>531</v>
      </c>
      <c r="S96" s="30" t="s">
        <v>691</v>
      </c>
      <c r="T96" s="72" t="s">
        <v>33</v>
      </c>
      <c r="U96" s="72" t="s">
        <v>33</v>
      </c>
      <c r="V96" s="72" t="s">
        <v>719</v>
      </c>
      <c r="W96" s="30" t="s">
        <v>35</v>
      </c>
      <c r="X96" s="30" t="s">
        <v>168</v>
      </c>
      <c r="Y96" s="73" t="s">
        <v>720</v>
      </c>
    </row>
    <row r="97" spans="1:25" x14ac:dyDescent="0.2">
      <c r="A97" s="74">
        <v>96</v>
      </c>
      <c r="B97" s="21" t="s">
        <v>721</v>
      </c>
      <c r="C97" s="21" t="s">
        <v>722</v>
      </c>
      <c r="D97" s="21" t="s">
        <v>135</v>
      </c>
      <c r="E97" s="21" t="s">
        <v>723</v>
      </c>
      <c r="F97" s="21">
        <v>75</v>
      </c>
      <c r="G97" s="21">
        <v>300</v>
      </c>
      <c r="H97" s="21">
        <v>30</v>
      </c>
      <c r="I97" s="75">
        <v>15</v>
      </c>
      <c r="J97" s="21" t="s">
        <v>724</v>
      </c>
      <c r="M97" s="76" t="b">
        <v>1</v>
      </c>
      <c r="N97" s="76" t="b">
        <v>0</v>
      </c>
      <c r="O97" s="21">
        <v>0</v>
      </c>
      <c r="P97" s="21" t="s">
        <v>268</v>
      </c>
      <c r="Q97" s="21" t="s">
        <v>725</v>
      </c>
      <c r="R97" s="21" t="s">
        <v>698</v>
      </c>
      <c r="S97" s="21" t="s">
        <v>691</v>
      </c>
      <c r="T97" s="77" t="s">
        <v>33</v>
      </c>
      <c r="U97" s="77" t="s">
        <v>33</v>
      </c>
      <c r="V97" s="77" t="s">
        <v>726</v>
      </c>
      <c r="W97" s="21" t="s">
        <v>11</v>
      </c>
      <c r="X97" s="21" t="s">
        <v>168</v>
      </c>
      <c r="Y97" s="78" t="s">
        <v>727</v>
      </c>
    </row>
    <row r="98" spans="1:25" x14ac:dyDescent="0.2">
      <c r="A98" s="70">
        <v>97</v>
      </c>
      <c r="B98" s="30" t="s">
        <v>728</v>
      </c>
      <c r="C98" s="30" t="s">
        <v>729</v>
      </c>
      <c r="D98" s="30" t="s">
        <v>49</v>
      </c>
      <c r="E98" s="30" t="s">
        <v>730</v>
      </c>
      <c r="F98" s="30">
        <v>150</v>
      </c>
      <c r="G98" s="30">
        <v>4000</v>
      </c>
      <c r="H98" s="30">
        <v>0</v>
      </c>
      <c r="I98" s="71">
        <v>20</v>
      </c>
      <c r="J98" s="30" t="s">
        <v>731</v>
      </c>
      <c r="M98" s="32" t="b">
        <v>0</v>
      </c>
      <c r="N98" s="32" t="b">
        <v>0</v>
      </c>
      <c r="O98" s="30">
        <v>0</v>
      </c>
      <c r="P98" s="30" t="s">
        <v>30</v>
      </c>
      <c r="Q98" s="30" t="s">
        <v>157</v>
      </c>
      <c r="R98" s="30" t="s">
        <v>62</v>
      </c>
      <c r="S98" s="30" t="s">
        <v>691</v>
      </c>
      <c r="T98" s="72" t="s">
        <v>33</v>
      </c>
      <c r="U98" s="72" t="s">
        <v>33</v>
      </c>
      <c r="V98" s="72" t="s">
        <v>732</v>
      </c>
      <c r="W98" s="30" t="s">
        <v>54</v>
      </c>
      <c r="X98" s="30" t="s">
        <v>82</v>
      </c>
      <c r="Y98" s="73" t="s">
        <v>733</v>
      </c>
    </row>
    <row r="99" spans="1:25" x14ac:dyDescent="0.2">
      <c r="A99" s="74">
        <v>98</v>
      </c>
      <c r="B99" s="21" t="s">
        <v>734</v>
      </c>
      <c r="C99" s="21" t="s">
        <v>735</v>
      </c>
      <c r="D99" s="21" t="s">
        <v>95</v>
      </c>
      <c r="E99" s="21" t="s">
        <v>736</v>
      </c>
      <c r="F99" s="21">
        <v>75</v>
      </c>
      <c r="G99" s="21">
        <v>300</v>
      </c>
      <c r="H99" s="21">
        <v>0</v>
      </c>
      <c r="I99" s="75">
        <v>5</v>
      </c>
      <c r="J99" s="21" t="s">
        <v>737</v>
      </c>
      <c r="K99" s="21" t="s">
        <v>738</v>
      </c>
      <c r="L99" s="21" t="s">
        <v>739</v>
      </c>
      <c r="M99" s="76" t="b">
        <v>0</v>
      </c>
      <c r="N99" s="76" t="b">
        <v>0</v>
      </c>
      <c r="O99" s="21">
        <v>0</v>
      </c>
      <c r="P99" s="21" t="s">
        <v>122</v>
      </c>
      <c r="Q99" s="21" t="s">
        <v>157</v>
      </c>
      <c r="R99" s="21" t="s">
        <v>740</v>
      </c>
      <c r="S99" s="21" t="s">
        <v>691</v>
      </c>
      <c r="T99" s="77" t="s">
        <v>33</v>
      </c>
      <c r="U99" s="77" t="s">
        <v>33</v>
      </c>
      <c r="V99" s="77" t="s">
        <v>741</v>
      </c>
      <c r="W99" s="21" t="s">
        <v>35</v>
      </c>
      <c r="X99" s="21" t="s">
        <v>82</v>
      </c>
      <c r="Y99" s="78" t="s">
        <v>742</v>
      </c>
    </row>
    <row r="100" spans="1:25" x14ac:dyDescent="0.2">
      <c r="A100" s="70">
        <v>99</v>
      </c>
      <c r="B100" s="30" t="s">
        <v>743</v>
      </c>
      <c r="C100" s="30" t="s">
        <v>744</v>
      </c>
      <c r="D100" s="30" t="s">
        <v>95</v>
      </c>
      <c r="E100" s="30" t="s">
        <v>745</v>
      </c>
      <c r="F100" s="30">
        <v>100</v>
      </c>
      <c r="G100" s="30">
        <v>1</v>
      </c>
      <c r="H100" s="30">
        <v>0</v>
      </c>
      <c r="I100" s="71">
        <v>15</v>
      </c>
      <c r="J100" s="30" t="s">
        <v>97</v>
      </c>
      <c r="L100" s="30" t="s">
        <v>746</v>
      </c>
      <c r="M100" s="32" t="b">
        <v>1</v>
      </c>
      <c r="N100" s="32" t="b">
        <v>1</v>
      </c>
      <c r="O100" s="30">
        <v>0</v>
      </c>
      <c r="P100" s="30" t="s">
        <v>122</v>
      </c>
      <c r="Q100" s="30" t="s">
        <v>747</v>
      </c>
      <c r="R100" s="30" t="s">
        <v>72</v>
      </c>
      <c r="S100" s="30" t="s">
        <v>691</v>
      </c>
      <c r="T100" s="72" t="s">
        <v>33</v>
      </c>
      <c r="U100" s="72" t="s">
        <v>33</v>
      </c>
      <c r="V100" s="72" t="s">
        <v>748</v>
      </c>
      <c r="W100" s="30" t="s">
        <v>11</v>
      </c>
      <c r="X100" s="30" t="s">
        <v>168</v>
      </c>
      <c r="Y100" s="73" t="s">
        <v>749</v>
      </c>
    </row>
    <row r="101" spans="1:25" x14ac:dyDescent="0.2">
      <c r="A101" s="74">
        <v>100</v>
      </c>
      <c r="B101" s="21" t="s">
        <v>750</v>
      </c>
      <c r="C101" s="21" t="s">
        <v>751</v>
      </c>
      <c r="D101" s="21" t="s">
        <v>135</v>
      </c>
      <c r="E101" s="21" t="s">
        <v>752</v>
      </c>
      <c r="F101" s="21">
        <v>175</v>
      </c>
      <c r="G101" s="21">
        <v>300</v>
      </c>
      <c r="H101" s="21">
        <v>40</v>
      </c>
      <c r="I101" s="75">
        <v>5</v>
      </c>
      <c r="J101" s="21" t="s">
        <v>753</v>
      </c>
      <c r="L101" s="21" t="s">
        <v>254</v>
      </c>
      <c r="M101" s="76" t="b">
        <v>0</v>
      </c>
      <c r="N101" s="76" t="b">
        <v>0</v>
      </c>
      <c r="O101" s="21">
        <v>0</v>
      </c>
      <c r="P101" s="21" t="s">
        <v>122</v>
      </c>
      <c r="R101" s="21" t="s">
        <v>31</v>
      </c>
      <c r="S101" s="21" t="s">
        <v>691</v>
      </c>
      <c r="T101" s="77" t="s">
        <v>33</v>
      </c>
      <c r="U101" s="77" t="s">
        <v>33</v>
      </c>
      <c r="V101" s="77" t="s">
        <v>754</v>
      </c>
      <c r="W101" s="21" t="s">
        <v>35</v>
      </c>
      <c r="X101" s="21" t="s">
        <v>755</v>
      </c>
      <c r="Y101" s="78" t="s">
        <v>756</v>
      </c>
    </row>
    <row r="102" spans="1:25" x14ac:dyDescent="0.2">
      <c r="A102" s="70">
        <v>101</v>
      </c>
      <c r="B102" s="30" t="s">
        <v>757</v>
      </c>
      <c r="C102" s="30" t="s">
        <v>758</v>
      </c>
      <c r="D102" s="30" t="s">
        <v>135</v>
      </c>
      <c r="E102" s="30" t="s">
        <v>759</v>
      </c>
      <c r="F102" s="30">
        <v>75</v>
      </c>
      <c r="G102" s="30">
        <v>300</v>
      </c>
      <c r="H102" s="30">
        <v>200</v>
      </c>
      <c r="I102" s="71">
        <v>15</v>
      </c>
      <c r="J102" s="30" t="s">
        <v>760</v>
      </c>
      <c r="L102" s="30" t="s">
        <v>761</v>
      </c>
      <c r="M102" s="32" t="b">
        <v>1</v>
      </c>
      <c r="N102" s="32" t="b">
        <v>0</v>
      </c>
      <c r="O102" s="30">
        <v>0</v>
      </c>
      <c r="P102" s="30" t="s">
        <v>122</v>
      </c>
      <c r="Q102" s="30" t="s">
        <v>71</v>
      </c>
      <c r="R102" s="30" t="s">
        <v>130</v>
      </c>
      <c r="S102" s="30" t="s">
        <v>691</v>
      </c>
      <c r="T102" s="72" t="s">
        <v>33</v>
      </c>
      <c r="U102" s="72" t="s">
        <v>33</v>
      </c>
      <c r="V102" s="72" t="s">
        <v>762</v>
      </c>
      <c r="W102" s="30" t="s">
        <v>11</v>
      </c>
      <c r="X102" s="30" t="s">
        <v>82</v>
      </c>
      <c r="Y102" s="73" t="s">
        <v>763</v>
      </c>
    </row>
    <row r="103" spans="1:25" x14ac:dyDescent="0.2">
      <c r="A103" s="74">
        <v>102</v>
      </c>
      <c r="B103" s="21" t="s">
        <v>764</v>
      </c>
      <c r="C103" s="21" t="s">
        <v>765</v>
      </c>
      <c r="D103" s="21" t="s">
        <v>356</v>
      </c>
      <c r="E103" s="21" t="s">
        <v>766</v>
      </c>
      <c r="F103" s="21">
        <v>50</v>
      </c>
      <c r="G103" s="21">
        <v>1</v>
      </c>
      <c r="H103" s="21">
        <v>0</v>
      </c>
      <c r="I103" s="75">
        <v>15</v>
      </c>
      <c r="J103" s="21" t="s">
        <v>767</v>
      </c>
      <c r="K103" s="21" t="s">
        <v>768</v>
      </c>
      <c r="L103" s="21" t="s">
        <v>769</v>
      </c>
      <c r="M103" s="76" t="b">
        <v>1</v>
      </c>
      <c r="N103" s="76" t="b">
        <v>0</v>
      </c>
      <c r="O103" s="21">
        <v>0</v>
      </c>
      <c r="P103" s="21" t="s">
        <v>122</v>
      </c>
      <c r="Q103" s="21" t="s">
        <v>157</v>
      </c>
      <c r="R103" s="21" t="s">
        <v>43</v>
      </c>
      <c r="S103" s="21" t="s">
        <v>691</v>
      </c>
      <c r="T103" s="77" t="s">
        <v>33</v>
      </c>
      <c r="U103" s="77" t="s">
        <v>33</v>
      </c>
      <c r="V103" s="77" t="s">
        <v>770</v>
      </c>
      <c r="W103" s="21" t="s">
        <v>11</v>
      </c>
      <c r="X103" s="21" t="s">
        <v>82</v>
      </c>
      <c r="Y103" s="78" t="s">
        <v>771</v>
      </c>
    </row>
    <row r="104" spans="1:25" x14ac:dyDescent="0.2">
      <c r="A104" s="70">
        <v>103</v>
      </c>
      <c r="B104" s="30" t="s">
        <v>772</v>
      </c>
      <c r="C104" s="30" t="s">
        <v>773</v>
      </c>
      <c r="D104" s="30" t="s">
        <v>216</v>
      </c>
      <c r="E104" s="30" t="s">
        <v>774</v>
      </c>
      <c r="F104" s="30">
        <v>150</v>
      </c>
      <c r="G104" s="30">
        <v>200</v>
      </c>
      <c r="H104" s="30">
        <v>48</v>
      </c>
      <c r="I104" s="71">
        <v>10</v>
      </c>
      <c r="J104" s="30" t="s">
        <v>775</v>
      </c>
      <c r="K104" s="30" t="s">
        <v>776</v>
      </c>
      <c r="L104" s="30" t="s">
        <v>777</v>
      </c>
      <c r="M104" s="32" t="b">
        <v>0</v>
      </c>
      <c r="N104" s="32" t="b">
        <v>0</v>
      </c>
      <c r="O104" s="30">
        <v>0</v>
      </c>
      <c r="P104" s="30" t="s">
        <v>30</v>
      </c>
      <c r="Q104" s="30" t="s">
        <v>226</v>
      </c>
      <c r="R104" s="30" t="s">
        <v>187</v>
      </c>
      <c r="S104" s="30" t="s">
        <v>691</v>
      </c>
      <c r="T104" s="72" t="s">
        <v>33</v>
      </c>
      <c r="U104" s="72" t="s">
        <v>33</v>
      </c>
      <c r="V104" s="72" t="s">
        <v>778</v>
      </c>
      <c r="W104" s="30" t="s">
        <v>11</v>
      </c>
      <c r="X104" s="30" t="s">
        <v>168</v>
      </c>
      <c r="Y104" s="73" t="s">
        <v>779</v>
      </c>
    </row>
    <row r="105" spans="1:25" x14ac:dyDescent="0.2">
      <c r="A105" s="74">
        <v>104</v>
      </c>
      <c r="B105" s="21" t="s">
        <v>780</v>
      </c>
      <c r="C105" s="21" t="s">
        <v>781</v>
      </c>
      <c r="D105" s="21" t="s">
        <v>105</v>
      </c>
      <c r="E105" s="21" t="s">
        <v>782</v>
      </c>
      <c r="F105" s="21">
        <v>175</v>
      </c>
      <c r="G105" s="21">
        <v>2000</v>
      </c>
      <c r="H105" s="21">
        <v>40</v>
      </c>
      <c r="I105" s="75">
        <v>15</v>
      </c>
      <c r="J105" s="21" t="s">
        <v>783</v>
      </c>
      <c r="L105" s="21" t="s">
        <v>784</v>
      </c>
      <c r="M105" s="76" t="b">
        <v>0</v>
      </c>
      <c r="N105" s="76" t="b">
        <v>0</v>
      </c>
      <c r="O105" s="21">
        <v>0</v>
      </c>
      <c r="P105" s="21" t="s">
        <v>30</v>
      </c>
      <c r="Q105" s="21" t="s">
        <v>226</v>
      </c>
      <c r="R105" s="21" t="s">
        <v>130</v>
      </c>
      <c r="S105" s="21" t="s">
        <v>691</v>
      </c>
      <c r="T105" s="77" t="s">
        <v>33</v>
      </c>
      <c r="U105" s="77" t="s">
        <v>3258</v>
      </c>
      <c r="V105" s="77" t="s">
        <v>785</v>
      </c>
      <c r="W105" s="21" t="s">
        <v>111</v>
      </c>
      <c r="X105" s="21" t="s">
        <v>168</v>
      </c>
      <c r="Y105" s="78" t="s">
        <v>786</v>
      </c>
    </row>
    <row r="106" spans="1:25" x14ac:dyDescent="0.2">
      <c r="A106" s="70">
        <v>105</v>
      </c>
      <c r="B106" s="30" t="s">
        <v>787</v>
      </c>
      <c r="C106" s="30" t="s">
        <v>788</v>
      </c>
      <c r="D106" s="30" t="s">
        <v>27</v>
      </c>
      <c r="E106" s="30" t="s">
        <v>789</v>
      </c>
      <c r="F106" s="30">
        <v>175</v>
      </c>
      <c r="G106" s="30">
        <v>2000</v>
      </c>
      <c r="H106" s="30">
        <v>450</v>
      </c>
      <c r="I106" s="71">
        <v>5</v>
      </c>
      <c r="J106" s="30" t="s">
        <v>790</v>
      </c>
      <c r="L106" s="30" t="s">
        <v>791</v>
      </c>
      <c r="M106" s="32" t="b">
        <v>0</v>
      </c>
      <c r="N106" s="32" t="b">
        <v>0</v>
      </c>
      <c r="O106" s="30">
        <v>0</v>
      </c>
      <c r="P106" s="30" t="s">
        <v>180</v>
      </c>
      <c r="Q106" s="30" t="s">
        <v>792</v>
      </c>
      <c r="R106" s="30" t="s">
        <v>740</v>
      </c>
      <c r="S106" s="30" t="s">
        <v>793</v>
      </c>
      <c r="T106" s="72" t="s">
        <v>33</v>
      </c>
      <c r="U106" s="72" t="s">
        <v>33</v>
      </c>
      <c r="V106" s="72" t="s">
        <v>794</v>
      </c>
      <c r="W106" s="30" t="s">
        <v>360</v>
      </c>
      <c r="X106" s="30" t="s">
        <v>795</v>
      </c>
      <c r="Y106" s="73" t="s">
        <v>796</v>
      </c>
    </row>
    <row r="107" spans="1:25" x14ac:dyDescent="0.2">
      <c r="A107" s="74">
        <v>106</v>
      </c>
      <c r="B107" s="21" t="s">
        <v>797</v>
      </c>
      <c r="C107" s="21" t="s">
        <v>798</v>
      </c>
      <c r="D107" s="21" t="s">
        <v>27</v>
      </c>
      <c r="E107" s="21" t="s">
        <v>799</v>
      </c>
      <c r="F107" s="21">
        <v>150</v>
      </c>
      <c r="G107" s="21">
        <v>300</v>
      </c>
      <c r="H107" s="21">
        <v>20</v>
      </c>
      <c r="I107" s="75">
        <v>5</v>
      </c>
      <c r="J107" s="21" t="s">
        <v>800</v>
      </c>
      <c r="M107" s="76" t="b">
        <v>0</v>
      </c>
      <c r="N107" s="76" t="b">
        <v>0</v>
      </c>
      <c r="O107" s="21">
        <v>0</v>
      </c>
      <c r="P107" s="21" t="s">
        <v>122</v>
      </c>
      <c r="Q107" s="21" t="s">
        <v>801</v>
      </c>
      <c r="R107" s="21" t="s">
        <v>130</v>
      </c>
      <c r="S107" s="21" t="s">
        <v>793</v>
      </c>
      <c r="T107" s="77" t="s">
        <v>33</v>
      </c>
      <c r="U107" s="77" t="s">
        <v>33</v>
      </c>
      <c r="V107" s="77" t="s">
        <v>802</v>
      </c>
      <c r="W107" s="21" t="s">
        <v>35</v>
      </c>
      <c r="X107" s="21" t="s">
        <v>101</v>
      </c>
      <c r="Y107" s="78" t="s">
        <v>803</v>
      </c>
    </row>
    <row r="108" spans="1:25" x14ac:dyDescent="0.2">
      <c r="A108" s="70">
        <v>107</v>
      </c>
      <c r="B108" s="30" t="s">
        <v>804</v>
      </c>
      <c r="C108" s="30" t="s">
        <v>805</v>
      </c>
      <c r="D108" s="30" t="s">
        <v>27</v>
      </c>
      <c r="E108" s="30" t="s">
        <v>806</v>
      </c>
      <c r="F108" s="30">
        <v>275</v>
      </c>
      <c r="G108" s="30">
        <v>300</v>
      </c>
      <c r="H108" s="30">
        <v>50</v>
      </c>
      <c r="I108" s="71">
        <v>15</v>
      </c>
      <c r="J108" s="30" t="s">
        <v>807</v>
      </c>
      <c r="K108" s="30" t="s">
        <v>808</v>
      </c>
      <c r="L108" s="30" t="s">
        <v>809</v>
      </c>
      <c r="M108" s="32" t="b">
        <v>0</v>
      </c>
      <c r="N108" s="32" t="b">
        <v>0</v>
      </c>
      <c r="O108" s="30">
        <v>0</v>
      </c>
      <c r="P108" s="30" t="s">
        <v>180</v>
      </c>
      <c r="R108" s="30" t="s">
        <v>43</v>
      </c>
      <c r="S108" s="30" t="s">
        <v>793</v>
      </c>
      <c r="T108" s="72" t="s">
        <v>33</v>
      </c>
      <c r="U108" s="72" t="s">
        <v>33</v>
      </c>
      <c r="V108" s="72" t="s">
        <v>810</v>
      </c>
      <c r="W108" s="30" t="s">
        <v>35</v>
      </c>
      <c r="X108" s="30" t="s">
        <v>337</v>
      </c>
      <c r="Y108" s="73" t="s">
        <v>811</v>
      </c>
    </row>
    <row r="109" spans="1:25" x14ac:dyDescent="0.2">
      <c r="A109" s="74">
        <v>108</v>
      </c>
      <c r="B109" s="21" t="s">
        <v>812</v>
      </c>
      <c r="C109" s="21" t="s">
        <v>813</v>
      </c>
      <c r="D109" s="21" t="s">
        <v>199</v>
      </c>
      <c r="E109" s="21" t="s">
        <v>814</v>
      </c>
      <c r="F109" s="21">
        <v>150</v>
      </c>
      <c r="G109" s="21">
        <v>300</v>
      </c>
      <c r="H109" s="21">
        <v>40</v>
      </c>
      <c r="I109" s="75">
        <v>5</v>
      </c>
      <c r="J109" s="21" t="s">
        <v>815</v>
      </c>
      <c r="L109" s="21" t="s">
        <v>816</v>
      </c>
      <c r="M109" s="76" t="b">
        <v>0</v>
      </c>
      <c r="N109" s="76" t="b">
        <v>0</v>
      </c>
      <c r="O109" s="21">
        <v>0</v>
      </c>
      <c r="P109" s="21" t="s">
        <v>122</v>
      </c>
      <c r="R109" s="21" t="s">
        <v>43</v>
      </c>
      <c r="S109" s="21" t="s">
        <v>793</v>
      </c>
      <c r="T109" s="77" t="s">
        <v>33</v>
      </c>
      <c r="U109" s="77" t="s">
        <v>33</v>
      </c>
      <c r="V109" s="77" t="s">
        <v>817</v>
      </c>
      <c r="W109" s="21" t="s">
        <v>35</v>
      </c>
      <c r="X109" s="21" t="s">
        <v>82</v>
      </c>
      <c r="Y109" s="78" t="s">
        <v>818</v>
      </c>
    </row>
    <row r="110" spans="1:25" x14ac:dyDescent="0.2">
      <c r="A110" s="70">
        <v>109</v>
      </c>
      <c r="B110" s="30" t="s">
        <v>819</v>
      </c>
      <c r="C110" s="30" t="s">
        <v>820</v>
      </c>
      <c r="D110" s="30" t="s">
        <v>59</v>
      </c>
      <c r="E110" s="30" t="s">
        <v>821</v>
      </c>
      <c r="F110" s="30">
        <v>50</v>
      </c>
      <c r="G110" s="30">
        <v>3000</v>
      </c>
      <c r="H110" s="30">
        <v>1800</v>
      </c>
      <c r="I110" s="71">
        <v>10</v>
      </c>
      <c r="J110" s="30" t="s">
        <v>822</v>
      </c>
      <c r="M110" s="32" t="b">
        <v>0</v>
      </c>
      <c r="N110" s="32" t="b">
        <v>0</v>
      </c>
      <c r="O110" s="30">
        <v>0</v>
      </c>
      <c r="P110" s="30" t="s">
        <v>180</v>
      </c>
      <c r="Q110" s="30" t="s">
        <v>603</v>
      </c>
      <c r="R110" s="30" t="s">
        <v>52</v>
      </c>
      <c r="S110" s="30" t="s">
        <v>793</v>
      </c>
      <c r="T110" s="72" t="s">
        <v>33</v>
      </c>
      <c r="U110" s="72" t="s">
        <v>33</v>
      </c>
      <c r="V110" s="72" t="s">
        <v>823</v>
      </c>
      <c r="W110" s="30" t="s">
        <v>54</v>
      </c>
      <c r="X110" s="30" t="s">
        <v>82</v>
      </c>
      <c r="Y110" s="73" t="s">
        <v>824</v>
      </c>
    </row>
    <row r="111" spans="1:25" x14ac:dyDescent="0.2">
      <c r="A111" s="74">
        <v>110</v>
      </c>
      <c r="B111" s="21" t="s">
        <v>825</v>
      </c>
      <c r="C111" s="21" t="s">
        <v>825</v>
      </c>
      <c r="D111" s="21" t="s">
        <v>49</v>
      </c>
      <c r="E111" s="21" t="s">
        <v>826</v>
      </c>
      <c r="F111" s="21">
        <v>75</v>
      </c>
      <c r="G111" s="21">
        <v>450</v>
      </c>
      <c r="H111" s="21">
        <v>0</v>
      </c>
      <c r="I111" s="75">
        <v>20</v>
      </c>
      <c r="J111" s="21" t="s">
        <v>827</v>
      </c>
      <c r="M111" s="76" t="b">
        <v>0</v>
      </c>
      <c r="N111" s="76" t="b">
        <v>0</v>
      </c>
      <c r="O111" s="21">
        <v>0</v>
      </c>
      <c r="P111" s="21" t="s">
        <v>30</v>
      </c>
      <c r="Q111" s="21" t="s">
        <v>344</v>
      </c>
      <c r="R111" s="21" t="s">
        <v>72</v>
      </c>
      <c r="S111" s="21" t="s">
        <v>793</v>
      </c>
      <c r="T111" s="77" t="s">
        <v>33</v>
      </c>
      <c r="U111" s="77" t="s">
        <v>33</v>
      </c>
      <c r="V111" s="77" t="s">
        <v>828</v>
      </c>
      <c r="W111" s="21" t="s">
        <v>360</v>
      </c>
      <c r="X111" s="21" t="s">
        <v>168</v>
      </c>
      <c r="Y111" s="78" t="s">
        <v>829</v>
      </c>
    </row>
    <row r="112" spans="1:25" x14ac:dyDescent="0.2">
      <c r="A112" s="70">
        <v>111</v>
      </c>
      <c r="B112" s="30" t="s">
        <v>830</v>
      </c>
      <c r="C112" s="30" t="s">
        <v>831</v>
      </c>
      <c r="D112" s="30" t="s">
        <v>59</v>
      </c>
      <c r="E112" s="30" t="s">
        <v>832</v>
      </c>
      <c r="F112" s="30">
        <v>150</v>
      </c>
      <c r="G112" s="30">
        <v>1</v>
      </c>
      <c r="H112" s="30">
        <v>1800</v>
      </c>
      <c r="I112" s="71">
        <v>35</v>
      </c>
      <c r="J112" s="30" t="s">
        <v>97</v>
      </c>
      <c r="M112" s="32" t="b">
        <v>1</v>
      </c>
      <c r="N112" s="32" t="b">
        <v>1</v>
      </c>
      <c r="O112" s="30">
        <v>0</v>
      </c>
      <c r="P112" s="30" t="s">
        <v>180</v>
      </c>
      <c r="Q112" s="30" t="s">
        <v>833</v>
      </c>
      <c r="R112" s="30" t="s">
        <v>130</v>
      </c>
      <c r="S112" s="30" t="s">
        <v>793</v>
      </c>
      <c r="T112" s="72" t="s">
        <v>33</v>
      </c>
      <c r="U112" s="72" t="s">
        <v>3259</v>
      </c>
      <c r="V112" s="72" t="s">
        <v>834</v>
      </c>
      <c r="W112" s="30" t="s">
        <v>11</v>
      </c>
      <c r="X112" s="30" t="s">
        <v>835</v>
      </c>
      <c r="Y112" s="73" t="s">
        <v>836</v>
      </c>
    </row>
    <row r="113" spans="1:25" x14ac:dyDescent="0.2">
      <c r="A113" s="74">
        <v>112</v>
      </c>
      <c r="B113" s="21" t="s">
        <v>837</v>
      </c>
      <c r="C113" s="21" t="s">
        <v>838</v>
      </c>
      <c r="D113" s="21" t="s">
        <v>135</v>
      </c>
      <c r="E113" s="21" t="s">
        <v>839</v>
      </c>
      <c r="F113" s="21">
        <v>175</v>
      </c>
      <c r="G113" s="21">
        <v>2000</v>
      </c>
      <c r="H113" s="21">
        <v>1000</v>
      </c>
      <c r="I113" s="75">
        <v>25</v>
      </c>
      <c r="J113" s="21" t="s">
        <v>840</v>
      </c>
      <c r="L113" s="21" t="s">
        <v>841</v>
      </c>
      <c r="M113" s="76" t="b">
        <v>0</v>
      </c>
      <c r="N113" s="76" t="b">
        <v>0</v>
      </c>
      <c r="O113" s="21">
        <v>0</v>
      </c>
      <c r="P113" s="21" t="s">
        <v>180</v>
      </c>
      <c r="Q113" s="21" t="s">
        <v>157</v>
      </c>
      <c r="R113" s="21" t="s">
        <v>130</v>
      </c>
      <c r="S113" s="21" t="s">
        <v>793</v>
      </c>
      <c r="T113" s="77" t="s">
        <v>33</v>
      </c>
      <c r="U113" s="77" t="s">
        <v>33</v>
      </c>
      <c r="V113" s="77" t="s">
        <v>842</v>
      </c>
      <c r="W113" s="21" t="s">
        <v>54</v>
      </c>
      <c r="X113" s="21" t="s">
        <v>82</v>
      </c>
      <c r="Y113" s="78" t="s">
        <v>843</v>
      </c>
    </row>
    <row r="114" spans="1:25" x14ac:dyDescent="0.2">
      <c r="A114" s="70">
        <v>113</v>
      </c>
      <c r="B114" s="30" t="s">
        <v>844</v>
      </c>
      <c r="C114" s="30" t="s">
        <v>845</v>
      </c>
      <c r="D114" s="30" t="s">
        <v>40</v>
      </c>
      <c r="E114" s="30" t="s">
        <v>846</v>
      </c>
      <c r="F114" s="30">
        <v>100</v>
      </c>
      <c r="G114" s="30">
        <v>3000</v>
      </c>
      <c r="H114" s="30">
        <v>0</v>
      </c>
      <c r="I114" s="71">
        <v>25</v>
      </c>
      <c r="J114" s="30" t="s">
        <v>97</v>
      </c>
      <c r="M114" s="32" t="b">
        <v>1</v>
      </c>
      <c r="N114" s="32" t="b">
        <v>1</v>
      </c>
      <c r="O114" s="30">
        <v>50</v>
      </c>
      <c r="P114" s="30" t="s">
        <v>122</v>
      </c>
      <c r="Q114" s="30" t="s">
        <v>847</v>
      </c>
      <c r="R114" s="30" t="s">
        <v>130</v>
      </c>
      <c r="S114" s="30" t="s">
        <v>793</v>
      </c>
      <c r="T114" s="72" t="s">
        <v>33</v>
      </c>
      <c r="U114" s="72" t="s">
        <v>33</v>
      </c>
      <c r="V114" s="72" t="s">
        <v>848</v>
      </c>
      <c r="W114" s="30" t="s">
        <v>45</v>
      </c>
      <c r="X114" s="30" t="s">
        <v>835</v>
      </c>
      <c r="Y114" s="73" t="s">
        <v>849</v>
      </c>
    </row>
    <row r="115" spans="1:25" x14ac:dyDescent="0.2">
      <c r="A115" s="74">
        <v>114</v>
      </c>
      <c r="B115" s="21" t="s">
        <v>850</v>
      </c>
      <c r="C115" s="21" t="s">
        <v>851</v>
      </c>
      <c r="D115" s="21" t="s">
        <v>505</v>
      </c>
      <c r="E115" s="21" t="s">
        <v>852</v>
      </c>
      <c r="F115" s="21">
        <v>125</v>
      </c>
      <c r="G115" s="21">
        <v>300</v>
      </c>
      <c r="H115" s="21">
        <v>70</v>
      </c>
      <c r="I115" s="75">
        <v>5</v>
      </c>
      <c r="J115" s="21" t="s">
        <v>853</v>
      </c>
      <c r="L115" s="21" t="s">
        <v>854</v>
      </c>
      <c r="M115" s="76" t="b">
        <v>0</v>
      </c>
      <c r="N115" s="76" t="b">
        <v>0</v>
      </c>
      <c r="O115" s="21">
        <v>0</v>
      </c>
      <c r="P115" s="21" t="s">
        <v>855</v>
      </c>
      <c r="R115" s="21" t="s">
        <v>31</v>
      </c>
      <c r="S115" s="21" t="s">
        <v>793</v>
      </c>
      <c r="T115" s="77" t="s">
        <v>33</v>
      </c>
      <c r="U115" s="77" t="s">
        <v>33</v>
      </c>
      <c r="V115" s="77" t="s">
        <v>856</v>
      </c>
      <c r="W115" s="21" t="s">
        <v>35</v>
      </c>
      <c r="X115" s="21" t="s">
        <v>168</v>
      </c>
      <c r="Y115" s="78" t="s">
        <v>857</v>
      </c>
    </row>
    <row r="116" spans="1:25" x14ac:dyDescent="0.2">
      <c r="A116" s="70">
        <v>115</v>
      </c>
      <c r="B116" s="30" t="s">
        <v>858</v>
      </c>
      <c r="C116" s="30" t="s">
        <v>859</v>
      </c>
      <c r="D116" s="30" t="s">
        <v>199</v>
      </c>
      <c r="E116" s="30" t="s">
        <v>860</v>
      </c>
      <c r="F116" s="30">
        <v>125</v>
      </c>
      <c r="G116" s="30">
        <v>300</v>
      </c>
      <c r="H116" s="30">
        <v>30</v>
      </c>
      <c r="I116" s="71">
        <v>5</v>
      </c>
      <c r="J116" s="30" t="s">
        <v>861</v>
      </c>
      <c r="M116" s="32" t="b">
        <v>0</v>
      </c>
      <c r="N116" s="32" t="b">
        <v>0</v>
      </c>
      <c r="O116" s="30">
        <v>0</v>
      </c>
      <c r="P116" s="30" t="s">
        <v>180</v>
      </c>
      <c r="Q116" s="30" t="s">
        <v>203</v>
      </c>
      <c r="R116" s="30" t="s">
        <v>31</v>
      </c>
      <c r="S116" s="30" t="s">
        <v>793</v>
      </c>
      <c r="T116" s="72" t="s">
        <v>33</v>
      </c>
      <c r="U116" s="72" t="s">
        <v>33</v>
      </c>
      <c r="V116" s="72" t="s">
        <v>862</v>
      </c>
      <c r="W116" s="30" t="s">
        <v>35</v>
      </c>
      <c r="X116" s="30" t="s">
        <v>168</v>
      </c>
      <c r="Y116" s="73" t="s">
        <v>863</v>
      </c>
    </row>
    <row r="117" spans="1:25" x14ac:dyDescent="0.2">
      <c r="A117" s="74">
        <v>116</v>
      </c>
      <c r="B117" s="21" t="s">
        <v>864</v>
      </c>
      <c r="C117" s="21" t="s">
        <v>865</v>
      </c>
      <c r="D117" s="21" t="s">
        <v>68</v>
      </c>
      <c r="E117" s="21" t="s">
        <v>866</v>
      </c>
      <c r="F117" s="21">
        <v>125</v>
      </c>
      <c r="G117" s="21">
        <v>300</v>
      </c>
      <c r="H117" s="21">
        <v>20</v>
      </c>
      <c r="I117" s="75">
        <v>5</v>
      </c>
      <c r="J117" s="21" t="s">
        <v>867</v>
      </c>
      <c r="M117" s="76" t="b">
        <v>0</v>
      </c>
      <c r="N117" s="76" t="b">
        <v>0</v>
      </c>
      <c r="O117" s="21">
        <v>0</v>
      </c>
      <c r="P117" s="21" t="s">
        <v>122</v>
      </c>
      <c r="Q117" s="21" t="s">
        <v>226</v>
      </c>
      <c r="R117" s="21" t="s">
        <v>31</v>
      </c>
      <c r="S117" s="21" t="s">
        <v>793</v>
      </c>
      <c r="T117" s="77" t="s">
        <v>33</v>
      </c>
      <c r="U117" s="77" t="s">
        <v>33</v>
      </c>
      <c r="V117" s="77" t="s">
        <v>868</v>
      </c>
      <c r="W117" s="21" t="s">
        <v>35</v>
      </c>
      <c r="X117" s="21" t="s">
        <v>168</v>
      </c>
      <c r="Y117" s="78" t="s">
        <v>869</v>
      </c>
    </row>
    <row r="118" spans="1:25" x14ac:dyDescent="0.2">
      <c r="A118" s="70">
        <v>117</v>
      </c>
      <c r="B118" s="30" t="s">
        <v>870</v>
      </c>
      <c r="C118" s="30" t="s">
        <v>871</v>
      </c>
      <c r="D118" s="30" t="s">
        <v>105</v>
      </c>
      <c r="E118" s="30" t="s">
        <v>872</v>
      </c>
      <c r="F118" s="30">
        <v>200</v>
      </c>
      <c r="G118" s="30">
        <v>300</v>
      </c>
      <c r="H118" s="30">
        <v>400</v>
      </c>
      <c r="I118" s="71">
        <v>5</v>
      </c>
      <c r="J118" s="30" t="s">
        <v>873</v>
      </c>
      <c r="M118" s="32" t="b">
        <v>0</v>
      </c>
      <c r="N118" s="32" t="b">
        <v>0</v>
      </c>
      <c r="O118" s="30">
        <v>0</v>
      </c>
      <c r="P118" s="30" t="s">
        <v>122</v>
      </c>
      <c r="Q118" s="30" t="s">
        <v>567</v>
      </c>
      <c r="R118" s="30" t="s">
        <v>31</v>
      </c>
      <c r="S118" s="30" t="s">
        <v>793</v>
      </c>
      <c r="T118" s="72" t="s">
        <v>33</v>
      </c>
      <c r="U118" s="72" t="s">
        <v>3260</v>
      </c>
      <c r="V118" s="72" t="s">
        <v>874</v>
      </c>
      <c r="W118" s="30" t="s">
        <v>35</v>
      </c>
      <c r="X118" s="30" t="s">
        <v>168</v>
      </c>
      <c r="Y118" s="73" t="s">
        <v>875</v>
      </c>
    </row>
    <row r="119" spans="1:25" x14ac:dyDescent="0.2">
      <c r="A119" s="74">
        <v>118</v>
      </c>
      <c r="B119" s="21" t="s">
        <v>876</v>
      </c>
      <c r="C119" s="21" t="s">
        <v>877</v>
      </c>
      <c r="D119" s="21" t="s">
        <v>356</v>
      </c>
      <c r="E119" s="21" t="s">
        <v>878</v>
      </c>
      <c r="F119" s="21">
        <v>200</v>
      </c>
      <c r="G119" s="21">
        <v>300</v>
      </c>
      <c r="H119" s="21">
        <v>0</v>
      </c>
      <c r="I119" s="75">
        <v>20</v>
      </c>
      <c r="J119" s="21" t="s">
        <v>879</v>
      </c>
      <c r="M119" s="76" t="b">
        <v>0</v>
      </c>
      <c r="N119" s="76" t="b">
        <v>0</v>
      </c>
      <c r="O119" s="21">
        <v>0</v>
      </c>
      <c r="P119" s="21" t="s">
        <v>268</v>
      </c>
      <c r="Q119" s="21" t="s">
        <v>880</v>
      </c>
      <c r="R119" s="21" t="s">
        <v>270</v>
      </c>
      <c r="S119" s="21" t="s">
        <v>793</v>
      </c>
      <c r="T119" s="77" t="s">
        <v>33</v>
      </c>
      <c r="U119" s="77" t="s">
        <v>33</v>
      </c>
      <c r="V119" s="77" t="s">
        <v>881</v>
      </c>
      <c r="W119" s="21" t="s">
        <v>11</v>
      </c>
      <c r="X119" s="21" t="s">
        <v>168</v>
      </c>
      <c r="Y119" s="78" t="s">
        <v>882</v>
      </c>
    </row>
    <row r="120" spans="1:25" x14ac:dyDescent="0.2">
      <c r="A120" s="70">
        <v>119</v>
      </c>
      <c r="B120" s="30" t="s">
        <v>883</v>
      </c>
      <c r="C120" s="30" t="s">
        <v>884</v>
      </c>
      <c r="D120" s="30" t="s">
        <v>95</v>
      </c>
      <c r="E120" s="30" t="s">
        <v>885</v>
      </c>
      <c r="F120" s="30">
        <v>150</v>
      </c>
      <c r="G120" s="30">
        <v>300</v>
      </c>
      <c r="H120" s="30">
        <v>20</v>
      </c>
      <c r="I120" s="71">
        <v>5</v>
      </c>
      <c r="J120" s="30" t="s">
        <v>886</v>
      </c>
      <c r="M120" s="32" t="b">
        <v>0</v>
      </c>
      <c r="N120" s="32" t="b">
        <v>0</v>
      </c>
      <c r="O120" s="30">
        <v>0</v>
      </c>
      <c r="P120" s="30" t="s">
        <v>122</v>
      </c>
      <c r="Q120" s="30" t="s">
        <v>887</v>
      </c>
      <c r="R120" s="30" t="s">
        <v>43</v>
      </c>
      <c r="S120" s="30" t="s">
        <v>793</v>
      </c>
      <c r="T120" s="72" t="s">
        <v>33</v>
      </c>
      <c r="U120" s="72" t="s">
        <v>33</v>
      </c>
      <c r="V120" s="72" t="s">
        <v>888</v>
      </c>
      <c r="W120" s="30" t="s">
        <v>35</v>
      </c>
      <c r="X120" s="30" t="s">
        <v>168</v>
      </c>
      <c r="Y120" s="73" t="s">
        <v>889</v>
      </c>
    </row>
    <row r="121" spans="1:25" x14ac:dyDescent="0.2">
      <c r="A121" s="74">
        <v>120</v>
      </c>
      <c r="B121" s="21" t="s">
        <v>3261</v>
      </c>
      <c r="C121" s="21" t="s">
        <v>891</v>
      </c>
      <c r="D121" s="21" t="s">
        <v>216</v>
      </c>
      <c r="E121" s="21" t="s">
        <v>892</v>
      </c>
      <c r="F121" s="21">
        <v>125</v>
      </c>
      <c r="G121" s="21">
        <v>150</v>
      </c>
      <c r="H121" s="21">
        <v>950</v>
      </c>
      <c r="I121" s="75">
        <v>15</v>
      </c>
      <c r="J121" s="21" t="s">
        <v>893</v>
      </c>
      <c r="M121" s="76" t="b">
        <v>0</v>
      </c>
      <c r="N121" s="76" t="b">
        <v>0</v>
      </c>
      <c r="O121" s="21">
        <v>0</v>
      </c>
      <c r="P121" s="21" t="s">
        <v>122</v>
      </c>
      <c r="Q121" s="21" t="s">
        <v>894</v>
      </c>
      <c r="R121" s="21" t="s">
        <v>72</v>
      </c>
      <c r="S121" s="21" t="s">
        <v>793</v>
      </c>
      <c r="T121" s="77" t="s">
        <v>33</v>
      </c>
      <c r="U121" s="77" t="s">
        <v>33</v>
      </c>
      <c r="V121" s="77" t="s">
        <v>895</v>
      </c>
      <c r="W121" s="21" t="s">
        <v>111</v>
      </c>
      <c r="X121" s="21" t="s">
        <v>168</v>
      </c>
      <c r="Y121" s="78" t="s">
        <v>896</v>
      </c>
    </row>
    <row r="122" spans="1:25" x14ac:dyDescent="0.2">
      <c r="A122" s="70">
        <v>121</v>
      </c>
      <c r="B122" s="30" t="s">
        <v>897</v>
      </c>
      <c r="C122" s="30" t="s">
        <v>898</v>
      </c>
      <c r="D122" s="30" t="s">
        <v>68</v>
      </c>
      <c r="E122" s="30" t="s">
        <v>899</v>
      </c>
      <c r="F122" s="30">
        <v>175</v>
      </c>
      <c r="G122" s="30">
        <v>200</v>
      </c>
      <c r="H122" s="30">
        <v>15</v>
      </c>
      <c r="I122" s="71">
        <v>10</v>
      </c>
      <c r="J122" s="30" t="s">
        <v>900</v>
      </c>
      <c r="M122" s="32" t="b">
        <v>0</v>
      </c>
      <c r="N122" s="32" t="b">
        <v>0</v>
      </c>
      <c r="O122" s="30">
        <v>0</v>
      </c>
      <c r="P122" s="30" t="s">
        <v>122</v>
      </c>
      <c r="Q122" s="30" t="s">
        <v>901</v>
      </c>
      <c r="R122" s="30" t="s">
        <v>187</v>
      </c>
      <c r="S122" s="30" t="s">
        <v>793</v>
      </c>
      <c r="T122" s="72" t="s">
        <v>33</v>
      </c>
      <c r="U122" s="72" t="s">
        <v>33</v>
      </c>
      <c r="V122" s="72" t="s">
        <v>902</v>
      </c>
      <c r="W122" s="30" t="s">
        <v>35</v>
      </c>
      <c r="X122" s="30" t="s">
        <v>835</v>
      </c>
      <c r="Y122" s="73" t="s">
        <v>903</v>
      </c>
    </row>
    <row r="123" spans="1:25" x14ac:dyDescent="0.2">
      <c r="A123" s="74">
        <v>122</v>
      </c>
      <c r="B123" s="21" t="s">
        <v>904</v>
      </c>
      <c r="C123" s="21" t="s">
        <v>905</v>
      </c>
      <c r="D123" s="21" t="s">
        <v>78</v>
      </c>
      <c r="E123" s="21" t="s">
        <v>906</v>
      </c>
      <c r="F123" s="21">
        <v>175</v>
      </c>
      <c r="G123" s="21">
        <v>300</v>
      </c>
      <c r="H123" s="21">
        <v>60</v>
      </c>
      <c r="I123" s="75">
        <v>7</v>
      </c>
      <c r="J123" s="21" t="s">
        <v>907</v>
      </c>
      <c r="M123" s="76" t="b">
        <v>0</v>
      </c>
      <c r="N123" s="76" t="b">
        <v>0</v>
      </c>
      <c r="O123" s="21">
        <v>0</v>
      </c>
      <c r="P123" s="21" t="s">
        <v>666</v>
      </c>
      <c r="Q123" s="21" t="s">
        <v>908</v>
      </c>
      <c r="R123" s="21" t="s">
        <v>270</v>
      </c>
      <c r="S123" s="21" t="s">
        <v>793</v>
      </c>
      <c r="T123" s="77" t="s">
        <v>33</v>
      </c>
      <c r="U123" s="77" t="s">
        <v>33</v>
      </c>
      <c r="V123" s="77" t="s">
        <v>909</v>
      </c>
      <c r="W123" s="21" t="s">
        <v>111</v>
      </c>
      <c r="X123" s="21" t="s">
        <v>168</v>
      </c>
      <c r="Y123" s="78" t="s">
        <v>910</v>
      </c>
    </row>
    <row r="124" spans="1:25" x14ac:dyDescent="0.2">
      <c r="A124" s="70">
        <v>123</v>
      </c>
      <c r="B124" s="30" t="s">
        <v>911</v>
      </c>
      <c r="C124" s="30" t="s">
        <v>912</v>
      </c>
      <c r="D124" s="30" t="s">
        <v>199</v>
      </c>
      <c r="E124" s="30" t="s">
        <v>913</v>
      </c>
      <c r="F124" s="30">
        <v>0</v>
      </c>
      <c r="G124" s="30">
        <v>300</v>
      </c>
      <c r="H124" s="30">
        <v>0</v>
      </c>
      <c r="I124" s="71">
        <v>5</v>
      </c>
      <c r="J124" s="30" t="s">
        <v>914</v>
      </c>
      <c r="M124" s="32" t="b">
        <v>1</v>
      </c>
      <c r="N124" s="32" t="b">
        <v>0</v>
      </c>
      <c r="O124" s="30">
        <v>0</v>
      </c>
      <c r="P124" s="30" t="s">
        <v>268</v>
      </c>
      <c r="Q124" s="30" t="s">
        <v>157</v>
      </c>
      <c r="R124" s="30" t="s">
        <v>130</v>
      </c>
      <c r="S124" s="30" t="s">
        <v>793</v>
      </c>
      <c r="T124" s="72" t="s">
        <v>33</v>
      </c>
      <c r="U124" s="72" t="s">
        <v>33</v>
      </c>
      <c r="V124" s="72" t="s">
        <v>915</v>
      </c>
      <c r="W124" s="30" t="s">
        <v>11</v>
      </c>
      <c r="X124" s="30" t="s">
        <v>168</v>
      </c>
      <c r="Y124" s="73" t="s">
        <v>916</v>
      </c>
    </row>
    <row r="125" spans="1:25" x14ac:dyDescent="0.2">
      <c r="A125" s="74">
        <v>124</v>
      </c>
      <c r="B125" s="21" t="s">
        <v>917</v>
      </c>
      <c r="C125" s="21" t="s">
        <v>918</v>
      </c>
      <c r="D125" s="21" t="s">
        <v>49</v>
      </c>
      <c r="E125" s="21" t="s">
        <v>919</v>
      </c>
      <c r="F125" s="21">
        <v>150</v>
      </c>
      <c r="G125" s="21">
        <v>4000</v>
      </c>
      <c r="H125" s="21">
        <v>0</v>
      </c>
      <c r="I125" s="75">
        <v>12</v>
      </c>
      <c r="J125" s="21" t="s">
        <v>920</v>
      </c>
      <c r="M125" s="76" t="b">
        <v>0</v>
      </c>
      <c r="N125" s="76" t="b">
        <v>0</v>
      </c>
      <c r="O125" s="21">
        <v>0</v>
      </c>
      <c r="P125" s="21" t="s">
        <v>268</v>
      </c>
      <c r="Q125" s="21" t="s">
        <v>901</v>
      </c>
      <c r="R125" s="21" t="s">
        <v>270</v>
      </c>
      <c r="S125" s="21" t="s">
        <v>793</v>
      </c>
      <c r="T125" s="77" t="s">
        <v>33</v>
      </c>
      <c r="U125" s="77" t="s">
        <v>33</v>
      </c>
      <c r="V125" s="77" t="s">
        <v>921</v>
      </c>
      <c r="W125" s="21" t="s">
        <v>54</v>
      </c>
      <c r="X125" s="21" t="s">
        <v>101</v>
      </c>
      <c r="Y125" s="78" t="s">
        <v>922</v>
      </c>
    </row>
    <row r="126" spans="1:25" x14ac:dyDescent="0.2">
      <c r="A126" s="70">
        <v>125</v>
      </c>
      <c r="B126" s="30" t="s">
        <v>923</v>
      </c>
      <c r="C126" s="30" t="s">
        <v>924</v>
      </c>
      <c r="D126" s="30" t="s">
        <v>135</v>
      </c>
      <c r="E126" s="30" t="s">
        <v>925</v>
      </c>
      <c r="F126" s="30">
        <v>125</v>
      </c>
      <c r="G126" s="30">
        <v>300</v>
      </c>
      <c r="H126" s="30">
        <v>30</v>
      </c>
      <c r="I126" s="71">
        <v>10</v>
      </c>
      <c r="J126" s="30" t="s">
        <v>926</v>
      </c>
      <c r="M126" s="32" t="b">
        <v>0</v>
      </c>
      <c r="N126" s="32" t="b">
        <v>0</v>
      </c>
      <c r="O126" s="30">
        <v>0</v>
      </c>
      <c r="P126" s="30" t="s">
        <v>180</v>
      </c>
      <c r="Q126" s="30" t="s">
        <v>901</v>
      </c>
      <c r="R126" s="30" t="s">
        <v>72</v>
      </c>
      <c r="S126" s="30" t="s">
        <v>793</v>
      </c>
      <c r="T126" s="72" t="s">
        <v>33</v>
      </c>
      <c r="U126" s="72" t="s">
        <v>33</v>
      </c>
      <c r="V126" s="72" t="s">
        <v>927</v>
      </c>
      <c r="W126" s="30" t="s">
        <v>111</v>
      </c>
      <c r="X126" s="30" t="s">
        <v>168</v>
      </c>
      <c r="Y126" s="73" t="s">
        <v>928</v>
      </c>
    </row>
    <row r="127" spans="1:25" x14ac:dyDescent="0.2">
      <c r="A127" s="74">
        <v>126</v>
      </c>
      <c r="B127" s="21" t="s">
        <v>929</v>
      </c>
      <c r="C127" s="21" t="s">
        <v>930</v>
      </c>
      <c r="D127" s="21" t="s">
        <v>86</v>
      </c>
      <c r="E127" s="21" t="s">
        <v>931</v>
      </c>
      <c r="F127" s="21">
        <v>200</v>
      </c>
      <c r="G127" s="21">
        <v>1</v>
      </c>
      <c r="H127" s="21">
        <v>200</v>
      </c>
      <c r="I127" s="75">
        <v>25</v>
      </c>
      <c r="J127" s="21" t="s">
        <v>932</v>
      </c>
      <c r="L127" s="21" t="s">
        <v>933</v>
      </c>
      <c r="M127" s="76" t="b">
        <v>1</v>
      </c>
      <c r="N127" s="76" t="b">
        <v>1</v>
      </c>
      <c r="O127" s="21">
        <v>0</v>
      </c>
      <c r="P127" s="21" t="s">
        <v>268</v>
      </c>
      <c r="Q127" s="21" t="s">
        <v>934</v>
      </c>
      <c r="R127" s="21" t="s">
        <v>72</v>
      </c>
      <c r="S127" s="21" t="s">
        <v>793</v>
      </c>
      <c r="T127" s="77" t="s">
        <v>33</v>
      </c>
      <c r="U127" s="77" t="s">
        <v>33</v>
      </c>
      <c r="V127" s="77" t="s">
        <v>935</v>
      </c>
      <c r="W127" s="21" t="s">
        <v>11</v>
      </c>
      <c r="X127" s="21" t="s">
        <v>168</v>
      </c>
      <c r="Y127" s="78" t="s">
        <v>936</v>
      </c>
    </row>
    <row r="128" spans="1:25" x14ac:dyDescent="0.2">
      <c r="A128" s="70">
        <v>127</v>
      </c>
      <c r="B128" s="30" t="s">
        <v>937</v>
      </c>
      <c r="C128" s="30" t="s">
        <v>938</v>
      </c>
      <c r="D128" s="30" t="s">
        <v>78</v>
      </c>
      <c r="E128" s="30" t="s">
        <v>939</v>
      </c>
      <c r="F128" s="30">
        <v>225</v>
      </c>
      <c r="G128" s="30">
        <v>300</v>
      </c>
      <c r="H128" s="30">
        <v>75</v>
      </c>
      <c r="I128" s="71">
        <v>8.5</v>
      </c>
      <c r="J128" s="30" t="s">
        <v>940</v>
      </c>
      <c r="K128" s="30" t="s">
        <v>941</v>
      </c>
      <c r="L128" s="30" t="s">
        <v>942</v>
      </c>
      <c r="M128" s="32" t="b">
        <v>0</v>
      </c>
      <c r="N128" s="32" t="b">
        <v>0</v>
      </c>
      <c r="O128" s="30">
        <v>0</v>
      </c>
      <c r="P128" s="30" t="s">
        <v>180</v>
      </c>
      <c r="R128" s="30" t="s">
        <v>43</v>
      </c>
      <c r="S128" s="30" t="s">
        <v>793</v>
      </c>
      <c r="T128" s="72" t="s">
        <v>33</v>
      </c>
      <c r="U128" s="72" t="s">
        <v>33</v>
      </c>
      <c r="V128" s="72" t="s">
        <v>943</v>
      </c>
      <c r="W128" s="30" t="s">
        <v>35</v>
      </c>
      <c r="X128" s="30" t="s">
        <v>168</v>
      </c>
      <c r="Y128" s="73" t="s">
        <v>944</v>
      </c>
    </row>
    <row r="129" spans="1:25" x14ac:dyDescent="0.2">
      <c r="A129" s="74">
        <v>128</v>
      </c>
      <c r="B129" s="21" t="s">
        <v>945</v>
      </c>
      <c r="C129" s="21" t="s">
        <v>946</v>
      </c>
      <c r="D129" s="21" t="s">
        <v>216</v>
      </c>
      <c r="E129" s="21" t="s">
        <v>947</v>
      </c>
      <c r="F129" s="21">
        <v>250</v>
      </c>
      <c r="G129" s="21">
        <v>300</v>
      </c>
      <c r="H129" s="21">
        <v>350</v>
      </c>
      <c r="I129" s="75">
        <v>6.5</v>
      </c>
      <c r="J129" s="21" t="s">
        <v>948</v>
      </c>
      <c r="K129" s="21" t="s">
        <v>949</v>
      </c>
      <c r="L129" s="21" t="s">
        <v>950</v>
      </c>
      <c r="M129" s="76" t="b">
        <v>0</v>
      </c>
      <c r="N129" s="76" t="b">
        <v>0</v>
      </c>
      <c r="O129" s="21">
        <v>0</v>
      </c>
      <c r="P129" s="21" t="s">
        <v>855</v>
      </c>
      <c r="R129" s="21" t="s">
        <v>130</v>
      </c>
      <c r="S129" s="21" t="s">
        <v>793</v>
      </c>
      <c r="T129" s="77" t="s">
        <v>3262</v>
      </c>
      <c r="U129" s="77" t="s">
        <v>3263</v>
      </c>
      <c r="V129" s="77" t="s">
        <v>951</v>
      </c>
      <c r="W129" s="21" t="s">
        <v>35</v>
      </c>
      <c r="X129" s="21" t="s">
        <v>168</v>
      </c>
      <c r="Y129" s="78" t="s">
        <v>952</v>
      </c>
    </row>
    <row r="130" spans="1:25" x14ac:dyDescent="0.2">
      <c r="A130" s="70">
        <v>129</v>
      </c>
      <c r="B130" s="30" t="s">
        <v>953</v>
      </c>
      <c r="C130" s="30" t="s">
        <v>954</v>
      </c>
      <c r="D130" s="30" t="s">
        <v>49</v>
      </c>
      <c r="E130" s="30" t="s">
        <v>955</v>
      </c>
      <c r="F130" s="30">
        <v>125</v>
      </c>
      <c r="G130" s="30">
        <v>8000</v>
      </c>
      <c r="H130" s="30">
        <v>0</v>
      </c>
      <c r="I130" s="71">
        <v>12</v>
      </c>
      <c r="J130" s="30" t="s">
        <v>956</v>
      </c>
      <c r="K130" s="30" t="s">
        <v>957</v>
      </c>
      <c r="L130" s="30" t="s">
        <v>958</v>
      </c>
      <c r="M130" s="32" t="b">
        <v>0</v>
      </c>
      <c r="N130" s="32" t="b">
        <v>0</v>
      </c>
      <c r="O130" s="30">
        <v>0</v>
      </c>
      <c r="P130" s="30" t="s">
        <v>180</v>
      </c>
      <c r="Q130" s="30" t="s">
        <v>157</v>
      </c>
      <c r="R130" s="30" t="s">
        <v>52</v>
      </c>
      <c r="S130" s="30" t="s">
        <v>793</v>
      </c>
      <c r="T130" s="72" t="s">
        <v>33</v>
      </c>
      <c r="U130" s="72" t="s">
        <v>33</v>
      </c>
      <c r="V130" s="72" t="s">
        <v>959</v>
      </c>
      <c r="W130" s="30" t="s">
        <v>54</v>
      </c>
      <c r="X130" s="30" t="s">
        <v>168</v>
      </c>
      <c r="Y130" s="73" t="s">
        <v>960</v>
      </c>
    </row>
    <row r="131" spans="1:25" x14ac:dyDescent="0.2">
      <c r="A131" s="74">
        <v>130</v>
      </c>
      <c r="B131" s="21" t="s">
        <v>961</v>
      </c>
      <c r="C131" s="21" t="s">
        <v>962</v>
      </c>
      <c r="D131" s="21" t="s">
        <v>40</v>
      </c>
      <c r="E131" s="21" t="s">
        <v>963</v>
      </c>
      <c r="F131" s="21">
        <v>75</v>
      </c>
      <c r="G131" s="21">
        <v>300</v>
      </c>
      <c r="H131" s="21">
        <v>0</v>
      </c>
      <c r="I131" s="75">
        <v>5</v>
      </c>
      <c r="J131" s="21" t="s">
        <v>964</v>
      </c>
      <c r="K131" s="21" t="s">
        <v>965</v>
      </c>
      <c r="L131" s="21" t="s">
        <v>966</v>
      </c>
      <c r="M131" s="76" t="b">
        <v>0</v>
      </c>
      <c r="N131" s="76" t="b">
        <v>0</v>
      </c>
      <c r="O131" s="21">
        <v>50</v>
      </c>
      <c r="P131" s="21" t="s">
        <v>268</v>
      </c>
      <c r="Q131" s="21" t="s">
        <v>901</v>
      </c>
      <c r="R131" s="21" t="s">
        <v>43</v>
      </c>
      <c r="S131" s="21" t="s">
        <v>793</v>
      </c>
      <c r="T131" s="77" t="s">
        <v>33</v>
      </c>
      <c r="U131" s="77" t="s">
        <v>33</v>
      </c>
      <c r="V131" s="77" t="s">
        <v>967</v>
      </c>
      <c r="W131" s="21" t="s">
        <v>45</v>
      </c>
      <c r="X131" s="21" t="s">
        <v>168</v>
      </c>
      <c r="Y131" s="78" t="s">
        <v>968</v>
      </c>
    </row>
    <row r="132" spans="1:25" x14ac:dyDescent="0.2">
      <c r="A132" s="70">
        <v>131</v>
      </c>
      <c r="B132" s="30" t="s">
        <v>969</v>
      </c>
      <c r="C132" s="30" t="s">
        <v>970</v>
      </c>
      <c r="D132" s="30" t="s">
        <v>27</v>
      </c>
      <c r="E132" s="30" t="s">
        <v>971</v>
      </c>
      <c r="F132" s="30">
        <v>50</v>
      </c>
      <c r="G132" s="30">
        <v>1</v>
      </c>
      <c r="H132" s="30">
        <v>15</v>
      </c>
      <c r="I132" s="71">
        <v>5.5</v>
      </c>
      <c r="J132" s="30" t="s">
        <v>932</v>
      </c>
      <c r="L132" s="30" t="s">
        <v>972</v>
      </c>
      <c r="M132" s="32" t="b">
        <v>1</v>
      </c>
      <c r="N132" s="32" t="b">
        <v>1</v>
      </c>
      <c r="O132" s="30">
        <v>0</v>
      </c>
      <c r="P132" s="30" t="s">
        <v>180</v>
      </c>
      <c r="R132" s="30" t="s">
        <v>72</v>
      </c>
      <c r="S132" s="30" t="s">
        <v>793</v>
      </c>
      <c r="T132" s="72" t="s">
        <v>33</v>
      </c>
      <c r="U132" s="72" t="s">
        <v>33</v>
      </c>
      <c r="V132" s="72" t="s">
        <v>973</v>
      </c>
      <c r="W132" s="30" t="s">
        <v>111</v>
      </c>
      <c r="X132" s="30" t="s">
        <v>168</v>
      </c>
      <c r="Y132" s="73" t="s">
        <v>974</v>
      </c>
    </row>
    <row r="133" spans="1:25" x14ac:dyDescent="0.2">
      <c r="A133" s="74">
        <v>132</v>
      </c>
      <c r="B133" s="21" t="s">
        <v>975</v>
      </c>
      <c r="C133" s="21" t="s">
        <v>976</v>
      </c>
      <c r="D133" s="21" t="s">
        <v>95</v>
      </c>
      <c r="E133" s="21" t="s">
        <v>977</v>
      </c>
      <c r="F133" s="21">
        <v>175</v>
      </c>
      <c r="G133" s="21">
        <v>1</v>
      </c>
      <c r="H133" s="21">
        <v>0</v>
      </c>
      <c r="I133" s="75">
        <v>7</v>
      </c>
      <c r="J133" s="21" t="s">
        <v>978</v>
      </c>
      <c r="K133" s="21" t="s">
        <v>979</v>
      </c>
      <c r="L133" s="21" t="s">
        <v>980</v>
      </c>
      <c r="M133" s="76" t="b">
        <v>0</v>
      </c>
      <c r="N133" s="76" t="b">
        <v>0</v>
      </c>
      <c r="O133" s="21">
        <v>0</v>
      </c>
      <c r="P133" s="21" t="s">
        <v>855</v>
      </c>
      <c r="Q133" s="21" t="s">
        <v>981</v>
      </c>
      <c r="R133" s="21" t="s">
        <v>740</v>
      </c>
      <c r="S133" s="21" t="s">
        <v>793</v>
      </c>
      <c r="T133" s="77" t="s">
        <v>33</v>
      </c>
      <c r="U133" s="77" t="s">
        <v>33</v>
      </c>
      <c r="V133" s="77" t="s">
        <v>982</v>
      </c>
      <c r="W133" s="21" t="s">
        <v>11</v>
      </c>
      <c r="X133" s="21" t="s">
        <v>168</v>
      </c>
      <c r="Y133" s="78" t="s">
        <v>983</v>
      </c>
    </row>
    <row r="134" spans="1:25" x14ac:dyDescent="0.2">
      <c r="A134" s="70">
        <v>133</v>
      </c>
      <c r="B134" s="30" t="s">
        <v>984</v>
      </c>
      <c r="C134" s="30" t="s">
        <v>985</v>
      </c>
      <c r="D134" s="30" t="s">
        <v>199</v>
      </c>
      <c r="E134" s="30" t="s">
        <v>986</v>
      </c>
      <c r="F134" s="30">
        <v>150</v>
      </c>
      <c r="G134" s="30">
        <v>1</v>
      </c>
      <c r="H134" s="30">
        <v>50</v>
      </c>
      <c r="I134" s="71">
        <v>20</v>
      </c>
      <c r="J134" s="30" t="s">
        <v>932</v>
      </c>
      <c r="K134" s="30" t="s">
        <v>987</v>
      </c>
      <c r="M134" s="32" t="b">
        <v>1</v>
      </c>
      <c r="N134" s="32" t="b">
        <v>1</v>
      </c>
      <c r="O134" s="30">
        <v>0</v>
      </c>
      <c r="P134" s="30" t="s">
        <v>180</v>
      </c>
      <c r="Q134" s="30" t="s">
        <v>988</v>
      </c>
      <c r="R134" s="30" t="s">
        <v>366</v>
      </c>
      <c r="S134" s="30" t="s">
        <v>793</v>
      </c>
      <c r="T134" s="72" t="s">
        <v>33</v>
      </c>
      <c r="U134" s="72" t="s">
        <v>33</v>
      </c>
      <c r="V134" s="72" t="s">
        <v>989</v>
      </c>
      <c r="W134" s="30" t="s">
        <v>11</v>
      </c>
      <c r="X134" s="30" t="s">
        <v>835</v>
      </c>
      <c r="Y134" s="73" t="s">
        <v>990</v>
      </c>
    </row>
    <row r="135" spans="1:25" x14ac:dyDescent="0.2">
      <c r="A135" s="74">
        <v>134</v>
      </c>
      <c r="B135" s="21" t="s">
        <v>991</v>
      </c>
      <c r="C135" s="21" t="s">
        <v>992</v>
      </c>
      <c r="D135" s="21" t="s">
        <v>59</v>
      </c>
      <c r="E135" s="21" t="s">
        <v>993</v>
      </c>
      <c r="F135" s="21">
        <v>150</v>
      </c>
      <c r="G135" s="21">
        <v>1500</v>
      </c>
      <c r="H135" s="21">
        <v>1800</v>
      </c>
      <c r="I135" s="75">
        <v>10</v>
      </c>
      <c r="J135" s="21" t="s">
        <v>994</v>
      </c>
      <c r="K135" s="21" t="s">
        <v>995</v>
      </c>
      <c r="M135" s="76" t="b">
        <v>0</v>
      </c>
      <c r="N135" s="76" t="b">
        <v>0</v>
      </c>
      <c r="O135" s="21">
        <v>0</v>
      </c>
      <c r="P135" s="21" t="s">
        <v>855</v>
      </c>
      <c r="Q135" s="21" t="s">
        <v>996</v>
      </c>
      <c r="R135" s="21" t="s">
        <v>72</v>
      </c>
      <c r="S135" s="21" t="s">
        <v>793</v>
      </c>
      <c r="T135" s="77" t="s">
        <v>33</v>
      </c>
      <c r="U135" s="77" t="s">
        <v>33</v>
      </c>
      <c r="V135" s="77" t="s">
        <v>997</v>
      </c>
      <c r="W135" s="21" t="s">
        <v>111</v>
      </c>
      <c r="X135" s="21" t="s">
        <v>835</v>
      </c>
      <c r="Y135" s="78" t="s">
        <v>998</v>
      </c>
    </row>
    <row r="136" spans="1:25" x14ac:dyDescent="0.2">
      <c r="A136" s="70">
        <v>135</v>
      </c>
      <c r="B136" s="30" t="s">
        <v>999</v>
      </c>
      <c r="C136" s="30" t="s">
        <v>1000</v>
      </c>
      <c r="D136" s="30" t="s">
        <v>505</v>
      </c>
      <c r="E136" s="30" t="s">
        <v>1001</v>
      </c>
      <c r="F136" s="30">
        <v>100</v>
      </c>
      <c r="G136" s="30">
        <v>2500</v>
      </c>
      <c r="H136" s="30">
        <v>20</v>
      </c>
      <c r="I136" s="71">
        <v>10</v>
      </c>
      <c r="J136" s="30" t="s">
        <v>1002</v>
      </c>
      <c r="K136" s="30" t="s">
        <v>1003</v>
      </c>
      <c r="M136" s="32" t="b">
        <v>0</v>
      </c>
      <c r="N136" s="32" t="b">
        <v>0</v>
      </c>
      <c r="O136" s="30">
        <v>0</v>
      </c>
      <c r="P136" s="30" t="s">
        <v>268</v>
      </c>
      <c r="Q136" s="30" t="s">
        <v>295</v>
      </c>
      <c r="R136" s="30" t="s">
        <v>52</v>
      </c>
      <c r="S136" s="30" t="s">
        <v>793</v>
      </c>
      <c r="T136" s="72" t="s">
        <v>3251</v>
      </c>
      <c r="U136" s="72" t="s">
        <v>3252</v>
      </c>
      <c r="V136" s="72" t="s">
        <v>1004</v>
      </c>
      <c r="W136" s="30" t="s">
        <v>54</v>
      </c>
      <c r="X136" s="30" t="s">
        <v>835</v>
      </c>
      <c r="Y136" s="73" t="s">
        <v>1005</v>
      </c>
    </row>
    <row r="137" spans="1:25" x14ac:dyDescent="0.2">
      <c r="A137" s="74">
        <v>136</v>
      </c>
      <c r="B137" s="21" t="s">
        <v>1006</v>
      </c>
      <c r="C137" s="21" t="s">
        <v>1007</v>
      </c>
      <c r="D137" s="21" t="s">
        <v>68</v>
      </c>
      <c r="E137" s="21" t="s">
        <v>1008</v>
      </c>
      <c r="F137" s="21">
        <v>150</v>
      </c>
      <c r="G137" s="21">
        <v>300</v>
      </c>
      <c r="H137" s="21">
        <v>10</v>
      </c>
      <c r="I137" s="75">
        <v>5</v>
      </c>
      <c r="J137" s="21" t="s">
        <v>1009</v>
      </c>
      <c r="M137" s="76" t="b">
        <v>0</v>
      </c>
      <c r="N137" s="76" t="b">
        <v>0</v>
      </c>
      <c r="O137" s="21">
        <v>0</v>
      </c>
      <c r="P137" s="21" t="s">
        <v>855</v>
      </c>
      <c r="Q137" s="21" t="s">
        <v>1010</v>
      </c>
      <c r="R137" s="21" t="s">
        <v>72</v>
      </c>
      <c r="S137" s="21" t="s">
        <v>793</v>
      </c>
      <c r="T137" s="77" t="s">
        <v>33</v>
      </c>
      <c r="U137" s="77" t="s">
        <v>33</v>
      </c>
      <c r="V137" s="77" t="s">
        <v>1011</v>
      </c>
      <c r="W137" s="21" t="s">
        <v>35</v>
      </c>
      <c r="X137" s="21" t="s">
        <v>168</v>
      </c>
      <c r="Y137" s="78" t="s">
        <v>1012</v>
      </c>
    </row>
    <row r="138" spans="1:25" x14ac:dyDescent="0.2">
      <c r="A138" s="70">
        <v>137</v>
      </c>
      <c r="B138" s="30" t="s">
        <v>1013</v>
      </c>
      <c r="C138" s="30" t="s">
        <v>1014</v>
      </c>
      <c r="D138" s="30" t="s">
        <v>105</v>
      </c>
      <c r="E138" s="30" t="s">
        <v>1015</v>
      </c>
      <c r="F138" s="30">
        <v>175</v>
      </c>
      <c r="G138" s="30">
        <v>900</v>
      </c>
      <c r="H138" s="30">
        <v>100</v>
      </c>
      <c r="I138" s="71">
        <v>7</v>
      </c>
      <c r="J138" s="30" t="s">
        <v>1016</v>
      </c>
      <c r="K138" s="30" t="s">
        <v>1017</v>
      </c>
      <c r="M138" s="32" t="b">
        <v>0</v>
      </c>
      <c r="N138" s="32" t="b">
        <v>0</v>
      </c>
      <c r="O138" s="30">
        <v>0</v>
      </c>
      <c r="P138" s="30" t="s">
        <v>855</v>
      </c>
      <c r="Q138" s="30" t="s">
        <v>1018</v>
      </c>
      <c r="R138" s="30" t="s">
        <v>72</v>
      </c>
      <c r="S138" s="30" t="s">
        <v>793</v>
      </c>
      <c r="T138" s="72" t="s">
        <v>33</v>
      </c>
      <c r="U138" s="72" t="s">
        <v>33</v>
      </c>
      <c r="V138" s="72" t="s">
        <v>1019</v>
      </c>
      <c r="W138" s="30" t="s">
        <v>111</v>
      </c>
      <c r="X138" s="30" t="s">
        <v>168</v>
      </c>
      <c r="Y138" s="73" t="s">
        <v>1020</v>
      </c>
    </row>
    <row r="139" spans="1:25" x14ac:dyDescent="0.2">
      <c r="A139" s="74">
        <v>138</v>
      </c>
      <c r="B139" s="21" t="s">
        <v>1021</v>
      </c>
      <c r="C139" s="21" t="s">
        <v>1022</v>
      </c>
      <c r="D139" s="21" t="s">
        <v>86</v>
      </c>
      <c r="E139" s="21" t="s">
        <v>1023</v>
      </c>
      <c r="F139" s="21">
        <v>150</v>
      </c>
      <c r="G139" s="21">
        <v>300</v>
      </c>
      <c r="H139" s="21">
        <v>50</v>
      </c>
      <c r="I139" s="75">
        <v>30</v>
      </c>
      <c r="J139" s="21" t="s">
        <v>1024</v>
      </c>
      <c r="K139" s="21" t="s">
        <v>1025</v>
      </c>
      <c r="L139" s="21" t="s">
        <v>1026</v>
      </c>
      <c r="M139" s="76" t="b">
        <v>0</v>
      </c>
      <c r="N139" s="76" t="b">
        <v>0</v>
      </c>
      <c r="O139" s="21">
        <v>0</v>
      </c>
      <c r="P139" s="21" t="s">
        <v>855</v>
      </c>
      <c r="Q139" s="21" t="s">
        <v>546</v>
      </c>
      <c r="R139" s="21" t="s">
        <v>43</v>
      </c>
      <c r="S139" s="21" t="s">
        <v>793</v>
      </c>
      <c r="T139" s="77" t="s">
        <v>33</v>
      </c>
      <c r="U139" s="77" t="s">
        <v>3264</v>
      </c>
      <c r="V139" s="77" t="s">
        <v>1027</v>
      </c>
      <c r="W139" s="21" t="s">
        <v>11</v>
      </c>
      <c r="X139" s="21" t="s">
        <v>835</v>
      </c>
      <c r="Y139" s="78" t="s">
        <v>1028</v>
      </c>
    </row>
    <row r="140" spans="1:25" x14ac:dyDescent="0.2">
      <c r="A140" s="70">
        <v>139</v>
      </c>
      <c r="B140" s="30" t="s">
        <v>1029</v>
      </c>
      <c r="C140" s="30" t="s">
        <v>1030</v>
      </c>
      <c r="D140" s="30" t="s">
        <v>68</v>
      </c>
      <c r="E140" s="30" t="s">
        <v>1031</v>
      </c>
      <c r="F140" s="30">
        <v>255</v>
      </c>
      <c r="G140" s="30">
        <v>300</v>
      </c>
      <c r="H140" s="30">
        <v>40</v>
      </c>
      <c r="I140" s="71">
        <v>10</v>
      </c>
      <c r="J140" s="30" t="s">
        <v>1032</v>
      </c>
      <c r="L140" s="30" t="s">
        <v>1033</v>
      </c>
      <c r="M140" s="32" t="b">
        <v>0</v>
      </c>
      <c r="N140" s="32" t="b">
        <v>0</v>
      </c>
      <c r="O140" s="30">
        <v>0</v>
      </c>
      <c r="P140" s="30" t="s">
        <v>268</v>
      </c>
      <c r="Q140" s="30" t="s">
        <v>71</v>
      </c>
      <c r="R140" s="30" t="s">
        <v>270</v>
      </c>
      <c r="S140" s="30" t="s">
        <v>793</v>
      </c>
      <c r="T140" s="72" t="s">
        <v>33</v>
      </c>
      <c r="U140" s="72" t="s">
        <v>33</v>
      </c>
      <c r="V140" s="72" t="s">
        <v>1034</v>
      </c>
      <c r="W140" s="30" t="s">
        <v>35</v>
      </c>
      <c r="X140" s="30" t="s">
        <v>168</v>
      </c>
      <c r="Y140" s="73" t="s">
        <v>1035</v>
      </c>
    </row>
    <row r="141" spans="1:25" x14ac:dyDescent="0.2">
      <c r="A141" s="74">
        <v>140</v>
      </c>
      <c r="B141" s="21" t="s">
        <v>1036</v>
      </c>
      <c r="C141" s="21" t="s">
        <v>1037</v>
      </c>
      <c r="D141" s="21" t="s">
        <v>356</v>
      </c>
      <c r="E141" s="21" t="s">
        <v>1038</v>
      </c>
      <c r="F141" s="21">
        <v>200</v>
      </c>
      <c r="G141" s="21">
        <v>300</v>
      </c>
      <c r="H141" s="21">
        <v>100</v>
      </c>
      <c r="I141" s="75">
        <v>20</v>
      </c>
      <c r="J141" s="21" t="s">
        <v>1039</v>
      </c>
      <c r="L141" s="21" t="s">
        <v>1040</v>
      </c>
      <c r="M141" s="76" t="b">
        <v>0</v>
      </c>
      <c r="N141" s="76" t="b">
        <v>0</v>
      </c>
      <c r="O141" s="21">
        <v>0</v>
      </c>
      <c r="P141" s="21" t="s">
        <v>122</v>
      </c>
      <c r="Q141" s="21" t="s">
        <v>157</v>
      </c>
      <c r="R141" s="21" t="s">
        <v>43</v>
      </c>
      <c r="S141" s="21" t="s">
        <v>793</v>
      </c>
      <c r="T141" s="77" t="s">
        <v>33</v>
      </c>
      <c r="U141" s="77" t="s">
        <v>33</v>
      </c>
      <c r="V141" s="77" t="s">
        <v>1041</v>
      </c>
      <c r="W141" s="21" t="s">
        <v>35</v>
      </c>
      <c r="X141" s="21" t="s">
        <v>168</v>
      </c>
      <c r="Y141" s="78" t="s">
        <v>1042</v>
      </c>
    </row>
    <row r="142" spans="1:25" x14ac:dyDescent="0.2">
      <c r="A142" s="70">
        <v>141</v>
      </c>
      <c r="B142" s="30" t="s">
        <v>1043</v>
      </c>
      <c r="C142" s="30" t="s">
        <v>1044</v>
      </c>
      <c r="D142" s="30" t="s">
        <v>505</v>
      </c>
      <c r="E142" s="30" t="s">
        <v>1045</v>
      </c>
      <c r="F142" s="30">
        <v>125</v>
      </c>
      <c r="G142" s="30">
        <v>250</v>
      </c>
      <c r="H142" s="30">
        <v>45</v>
      </c>
      <c r="I142" s="71">
        <v>5</v>
      </c>
      <c r="J142" s="30" t="s">
        <v>1046</v>
      </c>
      <c r="L142" s="30" t="s">
        <v>1047</v>
      </c>
      <c r="M142" s="32" t="b">
        <v>0</v>
      </c>
      <c r="N142" s="32" t="b">
        <v>0</v>
      </c>
      <c r="O142" s="30">
        <v>0</v>
      </c>
      <c r="P142" s="30" t="s">
        <v>268</v>
      </c>
      <c r="Q142" s="30" t="s">
        <v>996</v>
      </c>
      <c r="R142" s="30" t="s">
        <v>366</v>
      </c>
      <c r="S142" s="30" t="s">
        <v>793</v>
      </c>
      <c r="T142" s="72" t="s">
        <v>33</v>
      </c>
      <c r="U142" s="72" t="s">
        <v>33</v>
      </c>
      <c r="V142" s="72" t="s">
        <v>1048</v>
      </c>
      <c r="W142" s="30" t="s">
        <v>111</v>
      </c>
      <c r="X142" s="30" t="s">
        <v>168</v>
      </c>
      <c r="Y142" s="73" t="s">
        <v>1049</v>
      </c>
    </row>
    <row r="143" spans="1:25" x14ac:dyDescent="0.2">
      <c r="A143" s="74">
        <v>142</v>
      </c>
      <c r="B143" s="21" t="s">
        <v>1050</v>
      </c>
      <c r="C143" s="21" t="s">
        <v>1051</v>
      </c>
      <c r="D143" s="21" t="s">
        <v>95</v>
      </c>
      <c r="E143" s="21" t="s">
        <v>1052</v>
      </c>
      <c r="F143" s="21">
        <v>100</v>
      </c>
      <c r="G143" s="21">
        <v>300</v>
      </c>
      <c r="H143" s="21">
        <v>15</v>
      </c>
      <c r="I143" s="75">
        <v>5</v>
      </c>
      <c r="J143" s="21" t="s">
        <v>1053</v>
      </c>
      <c r="K143" s="21" t="s">
        <v>1054</v>
      </c>
      <c r="L143" s="21" t="s">
        <v>1055</v>
      </c>
      <c r="M143" s="76" t="b">
        <v>0</v>
      </c>
      <c r="N143" s="76" t="b">
        <v>0</v>
      </c>
      <c r="O143" s="21">
        <v>0</v>
      </c>
      <c r="P143" s="21" t="s">
        <v>268</v>
      </c>
      <c r="Q143" s="21" t="s">
        <v>1056</v>
      </c>
      <c r="R143" s="21" t="s">
        <v>43</v>
      </c>
      <c r="S143" s="21" t="s">
        <v>793</v>
      </c>
      <c r="T143" s="77" t="s">
        <v>33</v>
      </c>
      <c r="U143" s="77" t="s">
        <v>33</v>
      </c>
      <c r="V143" s="77" t="s">
        <v>1057</v>
      </c>
      <c r="W143" s="21" t="s">
        <v>35</v>
      </c>
      <c r="X143" s="21" t="s">
        <v>168</v>
      </c>
      <c r="Y143" s="78" t="s">
        <v>1058</v>
      </c>
    </row>
    <row r="144" spans="1:25" x14ac:dyDescent="0.2">
      <c r="A144" s="70">
        <v>143</v>
      </c>
      <c r="B144" s="30" t="s">
        <v>1059</v>
      </c>
      <c r="C144" s="30" t="s">
        <v>1060</v>
      </c>
      <c r="D144" s="30" t="s">
        <v>59</v>
      </c>
      <c r="E144" s="30" t="s">
        <v>1061</v>
      </c>
      <c r="F144" s="30">
        <v>350</v>
      </c>
      <c r="G144" s="30">
        <v>300</v>
      </c>
      <c r="H144" s="30">
        <v>575</v>
      </c>
      <c r="I144" s="71">
        <v>5</v>
      </c>
      <c r="J144" s="30" t="s">
        <v>1062</v>
      </c>
      <c r="K144" s="30" t="s">
        <v>1063</v>
      </c>
      <c r="M144" s="32" t="b">
        <v>0</v>
      </c>
      <c r="N144" s="32" t="b">
        <v>0</v>
      </c>
      <c r="O144" s="30">
        <v>0</v>
      </c>
      <c r="P144" s="30" t="s">
        <v>180</v>
      </c>
      <c r="Q144" s="30" t="s">
        <v>1064</v>
      </c>
      <c r="R144" s="30" t="s">
        <v>43</v>
      </c>
      <c r="S144" s="30" t="s">
        <v>793</v>
      </c>
      <c r="T144" s="72" t="s">
        <v>33</v>
      </c>
      <c r="U144" s="72" t="s">
        <v>33</v>
      </c>
      <c r="V144" s="72" t="s">
        <v>1065</v>
      </c>
      <c r="W144" s="30" t="s">
        <v>35</v>
      </c>
      <c r="X144" s="30" t="s">
        <v>168</v>
      </c>
      <c r="Y144" s="73" t="s">
        <v>1066</v>
      </c>
    </row>
    <row r="145" spans="1:25" x14ac:dyDescent="0.2">
      <c r="A145" s="74">
        <v>144</v>
      </c>
      <c r="B145" s="21" t="s">
        <v>1067</v>
      </c>
      <c r="C145" s="21" t="s">
        <v>1068</v>
      </c>
      <c r="D145" s="21" t="s">
        <v>27</v>
      </c>
      <c r="E145" s="21" t="s">
        <v>1069</v>
      </c>
      <c r="F145" s="21">
        <v>125</v>
      </c>
      <c r="G145" s="21">
        <v>300</v>
      </c>
      <c r="H145" s="21">
        <v>20</v>
      </c>
      <c r="I145" s="75">
        <v>5</v>
      </c>
      <c r="J145" s="21" t="s">
        <v>1070</v>
      </c>
      <c r="K145" s="21" t="s">
        <v>1071</v>
      </c>
      <c r="M145" s="76" t="b">
        <v>0</v>
      </c>
      <c r="N145" s="76" t="b">
        <v>0</v>
      </c>
      <c r="O145" s="21">
        <v>0</v>
      </c>
      <c r="P145" s="21" t="s">
        <v>666</v>
      </c>
      <c r="Q145" s="21" t="s">
        <v>901</v>
      </c>
      <c r="R145" s="21" t="s">
        <v>31</v>
      </c>
      <c r="S145" s="21" t="s">
        <v>793</v>
      </c>
      <c r="T145" s="77" t="s">
        <v>33</v>
      </c>
      <c r="U145" s="77" t="s">
        <v>33</v>
      </c>
      <c r="V145" s="77" t="s">
        <v>1072</v>
      </c>
      <c r="W145" s="21" t="s">
        <v>35</v>
      </c>
      <c r="X145" s="21" t="s">
        <v>168</v>
      </c>
      <c r="Y145" s="78" t="s">
        <v>1073</v>
      </c>
    </row>
    <row r="146" spans="1:25" x14ac:dyDescent="0.2">
      <c r="A146" s="70">
        <v>145</v>
      </c>
      <c r="B146" s="30" t="s">
        <v>1074</v>
      </c>
      <c r="C146" s="30" t="s">
        <v>1075</v>
      </c>
      <c r="D146" s="30" t="s">
        <v>135</v>
      </c>
      <c r="E146" s="30" t="s">
        <v>1076</v>
      </c>
      <c r="F146" s="30">
        <v>200</v>
      </c>
      <c r="G146" s="30">
        <v>300</v>
      </c>
      <c r="H146" s="30">
        <v>22</v>
      </c>
      <c r="I146" s="71">
        <v>25</v>
      </c>
      <c r="J146" s="30" t="s">
        <v>1077</v>
      </c>
      <c r="L146" s="30" t="s">
        <v>254</v>
      </c>
      <c r="M146" s="32" t="b">
        <v>0</v>
      </c>
      <c r="N146" s="32" t="b">
        <v>0</v>
      </c>
      <c r="O146" s="30">
        <v>0</v>
      </c>
      <c r="P146" s="30" t="s">
        <v>855</v>
      </c>
      <c r="Q146" s="30" t="s">
        <v>157</v>
      </c>
      <c r="R146" s="30" t="s">
        <v>72</v>
      </c>
      <c r="S146" s="30" t="s">
        <v>793</v>
      </c>
      <c r="T146" s="72" t="s">
        <v>33</v>
      </c>
      <c r="U146" s="72" t="s">
        <v>33</v>
      </c>
      <c r="V146" s="72" t="s">
        <v>1078</v>
      </c>
      <c r="W146" s="30" t="s">
        <v>35</v>
      </c>
      <c r="X146" s="30" t="s">
        <v>168</v>
      </c>
      <c r="Y146" s="73" t="s">
        <v>1079</v>
      </c>
    </row>
    <row r="147" spans="1:25" x14ac:dyDescent="0.2">
      <c r="A147" s="74">
        <v>146</v>
      </c>
      <c r="B147" s="21" t="s">
        <v>1080</v>
      </c>
      <c r="C147" s="21" t="s">
        <v>1081</v>
      </c>
      <c r="D147" s="21" t="s">
        <v>40</v>
      </c>
      <c r="E147" s="21" t="s">
        <v>1082</v>
      </c>
      <c r="F147" s="21">
        <v>0</v>
      </c>
      <c r="G147" s="21">
        <v>300</v>
      </c>
      <c r="H147" s="21">
        <v>0</v>
      </c>
      <c r="I147" s="75">
        <v>20</v>
      </c>
      <c r="J147" s="21" t="s">
        <v>1083</v>
      </c>
      <c r="M147" s="76" t="b">
        <v>1</v>
      </c>
      <c r="N147" s="76" t="b">
        <v>0</v>
      </c>
      <c r="O147" s="21">
        <v>50</v>
      </c>
      <c r="P147" s="21" t="s">
        <v>855</v>
      </c>
      <c r="Q147" s="21" t="s">
        <v>277</v>
      </c>
      <c r="R147" s="21" t="s">
        <v>72</v>
      </c>
      <c r="S147" s="21" t="s">
        <v>793</v>
      </c>
      <c r="T147" s="77" t="s">
        <v>33</v>
      </c>
      <c r="U147" s="77" t="s">
        <v>33</v>
      </c>
      <c r="V147" s="77" t="s">
        <v>1084</v>
      </c>
      <c r="W147" s="21" t="s">
        <v>45</v>
      </c>
      <c r="X147" s="21" t="s">
        <v>835</v>
      </c>
      <c r="Y147" s="78" t="s">
        <v>1085</v>
      </c>
    </row>
    <row r="148" spans="1:25" x14ac:dyDescent="0.2">
      <c r="A148" s="70">
        <v>147</v>
      </c>
      <c r="B148" s="30" t="s">
        <v>1086</v>
      </c>
      <c r="C148" s="30" t="s">
        <v>1087</v>
      </c>
      <c r="D148" s="30" t="s">
        <v>216</v>
      </c>
      <c r="E148" s="30" t="s">
        <v>1088</v>
      </c>
      <c r="F148" s="30">
        <v>150</v>
      </c>
      <c r="G148" s="30">
        <v>250</v>
      </c>
      <c r="H148" s="30">
        <v>10</v>
      </c>
      <c r="I148" s="71">
        <v>5</v>
      </c>
      <c r="J148" s="30" t="s">
        <v>1089</v>
      </c>
      <c r="L148" s="30" t="s">
        <v>1090</v>
      </c>
      <c r="M148" s="32" t="b">
        <v>0</v>
      </c>
      <c r="N148" s="32" t="b">
        <v>0</v>
      </c>
      <c r="O148" s="30">
        <v>0</v>
      </c>
      <c r="P148" s="30" t="s">
        <v>180</v>
      </c>
      <c r="Q148" s="30" t="s">
        <v>901</v>
      </c>
      <c r="R148" s="30" t="s">
        <v>187</v>
      </c>
      <c r="S148" s="30" t="s">
        <v>793</v>
      </c>
      <c r="T148" s="72" t="s">
        <v>33</v>
      </c>
      <c r="U148" s="72" t="s">
        <v>33</v>
      </c>
      <c r="V148" s="72" t="s">
        <v>1091</v>
      </c>
      <c r="W148" s="30" t="s">
        <v>35</v>
      </c>
      <c r="X148" s="30" t="s">
        <v>168</v>
      </c>
      <c r="Y148" s="73" t="s">
        <v>1092</v>
      </c>
    </row>
    <row r="149" spans="1:25" x14ac:dyDescent="0.2">
      <c r="A149" s="74">
        <v>148</v>
      </c>
      <c r="B149" s="21" t="s">
        <v>1093</v>
      </c>
      <c r="C149" s="21" t="s">
        <v>1094</v>
      </c>
      <c r="D149" s="21" t="s">
        <v>505</v>
      </c>
      <c r="E149" s="21" t="s">
        <v>1095</v>
      </c>
      <c r="F149" s="21">
        <v>150</v>
      </c>
      <c r="G149" s="21">
        <v>1</v>
      </c>
      <c r="H149" s="21">
        <v>40</v>
      </c>
      <c r="I149" s="75">
        <v>15</v>
      </c>
      <c r="J149" s="21" t="s">
        <v>932</v>
      </c>
      <c r="L149" s="21" t="s">
        <v>1096</v>
      </c>
      <c r="M149" s="76" t="b">
        <v>1</v>
      </c>
      <c r="N149" s="76" t="b">
        <v>1</v>
      </c>
      <c r="O149" s="21">
        <v>0</v>
      </c>
      <c r="P149" s="21" t="s">
        <v>180</v>
      </c>
      <c r="Q149" s="21" t="s">
        <v>1097</v>
      </c>
      <c r="R149" s="21" t="s">
        <v>130</v>
      </c>
      <c r="S149" s="21" t="s">
        <v>793</v>
      </c>
      <c r="T149" s="77" t="s">
        <v>33</v>
      </c>
      <c r="U149" s="77" t="s">
        <v>33</v>
      </c>
      <c r="V149" s="77" t="s">
        <v>1098</v>
      </c>
      <c r="W149" s="21" t="s">
        <v>11</v>
      </c>
      <c r="X149" s="21" t="s">
        <v>835</v>
      </c>
      <c r="Y149" s="78" t="s">
        <v>1099</v>
      </c>
    </row>
    <row r="150" spans="1:25" x14ac:dyDescent="0.2">
      <c r="A150" s="70">
        <v>149</v>
      </c>
      <c r="B150" s="30" t="s">
        <v>1100</v>
      </c>
      <c r="C150" s="30" t="s">
        <v>1101</v>
      </c>
      <c r="D150" s="30" t="s">
        <v>78</v>
      </c>
      <c r="E150" s="30" t="s">
        <v>1102</v>
      </c>
      <c r="F150" s="30">
        <v>125</v>
      </c>
      <c r="G150" s="30">
        <v>1</v>
      </c>
      <c r="H150" s="30">
        <v>560</v>
      </c>
      <c r="I150" s="71">
        <v>20</v>
      </c>
      <c r="J150" s="30" t="s">
        <v>932</v>
      </c>
      <c r="L150" s="30" t="s">
        <v>1103</v>
      </c>
      <c r="M150" s="32" t="b">
        <v>1</v>
      </c>
      <c r="N150" s="32" t="b">
        <v>1</v>
      </c>
      <c r="O150" s="30">
        <v>0</v>
      </c>
      <c r="P150" s="30" t="s">
        <v>268</v>
      </c>
      <c r="Q150" s="30" t="s">
        <v>226</v>
      </c>
      <c r="R150" s="30" t="s">
        <v>43</v>
      </c>
      <c r="S150" s="30" t="s">
        <v>793</v>
      </c>
      <c r="T150" s="72" t="s">
        <v>33</v>
      </c>
      <c r="U150" s="72" t="s">
        <v>33</v>
      </c>
      <c r="V150" s="72" t="s">
        <v>1104</v>
      </c>
      <c r="W150" s="30" t="s">
        <v>35</v>
      </c>
      <c r="X150" s="30" t="s">
        <v>168</v>
      </c>
      <c r="Y150" s="73" t="s">
        <v>1105</v>
      </c>
    </row>
    <row r="151" spans="1:25" x14ac:dyDescent="0.2">
      <c r="A151" s="74">
        <v>150</v>
      </c>
      <c r="B151" s="21" t="s">
        <v>1106</v>
      </c>
      <c r="C151" s="21" t="s">
        <v>1107</v>
      </c>
      <c r="D151" s="21" t="s">
        <v>86</v>
      </c>
      <c r="E151" s="21" t="s">
        <v>1108</v>
      </c>
      <c r="F151" s="21">
        <v>150</v>
      </c>
      <c r="G151" s="21">
        <v>300</v>
      </c>
      <c r="H151" s="21">
        <v>10</v>
      </c>
      <c r="I151" s="75">
        <v>5</v>
      </c>
      <c r="J151" s="21" t="s">
        <v>1109</v>
      </c>
      <c r="M151" s="76" t="b">
        <v>0</v>
      </c>
      <c r="N151" s="76" t="b">
        <v>0</v>
      </c>
      <c r="O151" s="21">
        <v>0</v>
      </c>
      <c r="P151" s="21" t="s">
        <v>268</v>
      </c>
      <c r="Q151" s="21" t="s">
        <v>1110</v>
      </c>
      <c r="R151" s="21" t="s">
        <v>62</v>
      </c>
      <c r="S151" s="21" t="s">
        <v>793</v>
      </c>
      <c r="T151" s="77" t="s">
        <v>33</v>
      </c>
      <c r="U151" s="77" t="s">
        <v>33</v>
      </c>
      <c r="V151" s="77" t="s">
        <v>1111</v>
      </c>
      <c r="W151" s="21" t="s">
        <v>11</v>
      </c>
      <c r="X151" s="21" t="s">
        <v>835</v>
      </c>
      <c r="Y151" s="78" t="s">
        <v>1112</v>
      </c>
    </row>
    <row r="152" spans="1:25" x14ac:dyDescent="0.2">
      <c r="A152" s="70">
        <v>151</v>
      </c>
      <c r="B152" s="30" t="s">
        <v>1113</v>
      </c>
      <c r="C152" s="30" t="s">
        <v>1114</v>
      </c>
      <c r="D152" s="30" t="s">
        <v>105</v>
      </c>
      <c r="E152" s="30" t="s">
        <v>1115</v>
      </c>
      <c r="F152" s="30">
        <v>150</v>
      </c>
      <c r="G152" s="30">
        <v>300</v>
      </c>
      <c r="H152" s="30">
        <v>40</v>
      </c>
      <c r="I152" s="71">
        <v>7</v>
      </c>
      <c r="J152" s="30" t="s">
        <v>1116</v>
      </c>
      <c r="L152" s="30" t="s">
        <v>1117</v>
      </c>
      <c r="M152" s="32" t="b">
        <v>0</v>
      </c>
      <c r="N152" s="32" t="b">
        <v>0</v>
      </c>
      <c r="O152" s="30">
        <v>0</v>
      </c>
      <c r="P152" s="30" t="s">
        <v>855</v>
      </c>
      <c r="Q152" s="30" t="s">
        <v>1118</v>
      </c>
      <c r="R152" s="30" t="s">
        <v>72</v>
      </c>
      <c r="S152" s="30" t="s">
        <v>793</v>
      </c>
      <c r="T152" s="72" t="s">
        <v>3265</v>
      </c>
      <c r="U152" s="72" t="s">
        <v>33</v>
      </c>
      <c r="V152" s="72" t="s">
        <v>1119</v>
      </c>
      <c r="W152" s="30" t="s">
        <v>111</v>
      </c>
      <c r="X152" s="30" t="s">
        <v>835</v>
      </c>
      <c r="Y152" s="73" t="s">
        <v>1120</v>
      </c>
    </row>
    <row r="153" spans="1:25" x14ac:dyDescent="0.2">
      <c r="A153" s="74">
        <v>152</v>
      </c>
      <c r="B153" s="21" t="s">
        <v>1121</v>
      </c>
      <c r="C153" s="21" t="s">
        <v>1122</v>
      </c>
      <c r="D153" s="21" t="s">
        <v>59</v>
      </c>
      <c r="E153" s="21" t="s">
        <v>1123</v>
      </c>
      <c r="F153" s="21">
        <v>75</v>
      </c>
      <c r="G153" s="21">
        <v>300</v>
      </c>
      <c r="H153" s="21">
        <v>2200</v>
      </c>
      <c r="I153" s="75">
        <v>20</v>
      </c>
      <c r="J153" s="21" t="s">
        <v>932</v>
      </c>
      <c r="M153" s="76" t="b">
        <v>1</v>
      </c>
      <c r="N153" s="76" t="b">
        <v>1</v>
      </c>
      <c r="O153" s="21">
        <v>0</v>
      </c>
      <c r="P153" s="21" t="s">
        <v>268</v>
      </c>
      <c r="Q153" s="21" t="s">
        <v>1124</v>
      </c>
      <c r="R153" s="21" t="s">
        <v>62</v>
      </c>
      <c r="S153" s="21" t="s">
        <v>793</v>
      </c>
      <c r="T153" s="77" t="s">
        <v>33</v>
      </c>
      <c r="U153" s="77" t="s">
        <v>33</v>
      </c>
      <c r="V153" s="77" t="s">
        <v>1125</v>
      </c>
      <c r="W153" s="21" t="s">
        <v>11</v>
      </c>
      <c r="X153" s="21" t="s">
        <v>835</v>
      </c>
      <c r="Y153" s="78" t="s">
        <v>1126</v>
      </c>
    </row>
    <row r="154" spans="1:25" x14ac:dyDescent="0.2">
      <c r="A154" s="70">
        <v>153</v>
      </c>
      <c r="B154" s="30" t="s">
        <v>1127</v>
      </c>
      <c r="C154" s="30" t="s">
        <v>1128</v>
      </c>
      <c r="D154" s="30" t="s">
        <v>49</v>
      </c>
      <c r="E154" s="30" t="s">
        <v>1129</v>
      </c>
      <c r="F154" s="30">
        <v>150</v>
      </c>
      <c r="G154" s="30">
        <v>6000</v>
      </c>
      <c r="H154" s="30">
        <v>95</v>
      </c>
      <c r="I154" s="71">
        <v>15</v>
      </c>
      <c r="J154" s="30" t="s">
        <v>1130</v>
      </c>
      <c r="M154" s="32" t="b">
        <v>0</v>
      </c>
      <c r="N154" s="32" t="b">
        <v>0</v>
      </c>
      <c r="O154" s="30">
        <v>0</v>
      </c>
      <c r="P154" s="30" t="s">
        <v>855</v>
      </c>
      <c r="Q154" s="30" t="s">
        <v>887</v>
      </c>
      <c r="R154" s="30" t="s">
        <v>270</v>
      </c>
      <c r="S154" s="30" t="s">
        <v>793</v>
      </c>
      <c r="T154" s="72" t="s">
        <v>33</v>
      </c>
      <c r="U154" s="72" t="s">
        <v>33</v>
      </c>
      <c r="V154" s="72" t="s">
        <v>1131</v>
      </c>
      <c r="W154" s="30" t="s">
        <v>54</v>
      </c>
      <c r="X154" s="30" t="s">
        <v>835</v>
      </c>
      <c r="Y154" s="73" t="s">
        <v>1132</v>
      </c>
    </row>
    <row r="155" spans="1:25" x14ac:dyDescent="0.2">
      <c r="A155" s="74">
        <v>154</v>
      </c>
      <c r="B155" s="21" t="s">
        <v>1133</v>
      </c>
      <c r="C155" s="21" t="s">
        <v>1134</v>
      </c>
      <c r="D155" s="21" t="s">
        <v>95</v>
      </c>
      <c r="E155" s="21" t="s">
        <v>1135</v>
      </c>
      <c r="F155" s="21">
        <v>25</v>
      </c>
      <c r="G155" s="21">
        <v>900</v>
      </c>
      <c r="H155" s="21">
        <v>100</v>
      </c>
      <c r="I155" s="75">
        <v>10</v>
      </c>
      <c r="J155" s="21" t="s">
        <v>1136</v>
      </c>
      <c r="L155" s="21" t="s">
        <v>1137</v>
      </c>
      <c r="M155" s="76" t="b">
        <v>0</v>
      </c>
      <c r="N155" s="76" t="b">
        <v>0</v>
      </c>
      <c r="O155" s="21">
        <v>0</v>
      </c>
      <c r="P155" s="21" t="s">
        <v>180</v>
      </c>
      <c r="Q155" s="21" t="s">
        <v>129</v>
      </c>
      <c r="R155" s="21" t="s">
        <v>43</v>
      </c>
      <c r="S155" s="21" t="s">
        <v>793</v>
      </c>
      <c r="T155" s="77" t="s">
        <v>33</v>
      </c>
      <c r="U155" s="77" t="s">
        <v>33</v>
      </c>
      <c r="V155" s="77" t="s">
        <v>1138</v>
      </c>
      <c r="W155" s="21" t="s">
        <v>35</v>
      </c>
      <c r="X155" s="21" t="s">
        <v>168</v>
      </c>
      <c r="Y155" s="78" t="s">
        <v>1139</v>
      </c>
    </row>
    <row r="156" spans="1:25" x14ac:dyDescent="0.2">
      <c r="A156" s="70">
        <v>155</v>
      </c>
      <c r="B156" s="30" t="s">
        <v>1140</v>
      </c>
      <c r="C156" s="30" t="s">
        <v>1141</v>
      </c>
      <c r="D156" s="30" t="s">
        <v>78</v>
      </c>
      <c r="E156" s="30" t="s">
        <v>1142</v>
      </c>
      <c r="F156" s="30">
        <v>125</v>
      </c>
      <c r="G156" s="30">
        <v>1500</v>
      </c>
      <c r="H156" s="30">
        <v>30</v>
      </c>
      <c r="I156" s="71">
        <v>5</v>
      </c>
      <c r="J156" s="30" t="s">
        <v>1143</v>
      </c>
      <c r="M156" s="32" t="b">
        <v>0</v>
      </c>
      <c r="N156" s="32" t="b">
        <v>0</v>
      </c>
      <c r="O156" s="30">
        <v>0</v>
      </c>
      <c r="P156" s="30" t="s">
        <v>180</v>
      </c>
      <c r="Q156" s="30" t="s">
        <v>148</v>
      </c>
      <c r="R156" s="30" t="s">
        <v>187</v>
      </c>
      <c r="S156" s="30" t="s">
        <v>793</v>
      </c>
      <c r="T156" s="72" t="s">
        <v>33</v>
      </c>
      <c r="U156" s="72" t="s">
        <v>33</v>
      </c>
      <c r="V156" s="72" t="s">
        <v>1144</v>
      </c>
      <c r="W156" s="30" t="s">
        <v>11</v>
      </c>
      <c r="X156" s="30" t="s">
        <v>835</v>
      </c>
      <c r="Y156" s="73" t="s">
        <v>1145</v>
      </c>
    </row>
    <row r="157" spans="1:25" x14ac:dyDescent="0.2">
      <c r="A157" s="74">
        <v>156</v>
      </c>
      <c r="B157" s="21" t="s">
        <v>1146</v>
      </c>
      <c r="C157" s="21" t="s">
        <v>1147</v>
      </c>
      <c r="D157" s="21" t="s">
        <v>105</v>
      </c>
      <c r="E157" s="21" t="s">
        <v>1148</v>
      </c>
      <c r="F157" s="21">
        <v>100</v>
      </c>
      <c r="G157" s="21">
        <v>1</v>
      </c>
      <c r="H157" s="21">
        <v>50</v>
      </c>
      <c r="I157" s="75">
        <v>20</v>
      </c>
      <c r="J157" s="21" t="s">
        <v>932</v>
      </c>
      <c r="L157" s="21" t="s">
        <v>1149</v>
      </c>
      <c r="M157" s="76" t="b">
        <v>1</v>
      </c>
      <c r="N157" s="76" t="b">
        <v>1</v>
      </c>
      <c r="O157" s="21">
        <v>0</v>
      </c>
      <c r="P157" s="21" t="s">
        <v>268</v>
      </c>
      <c r="R157" s="21" t="s">
        <v>72</v>
      </c>
      <c r="S157" s="21" t="s">
        <v>793</v>
      </c>
      <c r="T157" s="77" t="s">
        <v>33</v>
      </c>
      <c r="U157" s="77" t="s">
        <v>33</v>
      </c>
      <c r="V157" s="77" t="s">
        <v>1150</v>
      </c>
      <c r="W157" s="21" t="s">
        <v>111</v>
      </c>
      <c r="X157" s="21" t="s">
        <v>168</v>
      </c>
      <c r="Y157" s="78" t="s">
        <v>1151</v>
      </c>
    </row>
    <row r="158" spans="1:25" x14ac:dyDescent="0.2">
      <c r="A158" s="70">
        <v>157</v>
      </c>
      <c r="B158" s="30" t="s">
        <v>1152</v>
      </c>
      <c r="C158" s="30" t="s">
        <v>1153</v>
      </c>
      <c r="D158" s="30" t="s">
        <v>27</v>
      </c>
      <c r="E158" s="30" t="s">
        <v>1154</v>
      </c>
      <c r="F158" s="30">
        <v>400</v>
      </c>
      <c r="G158" s="30">
        <v>300</v>
      </c>
      <c r="H158" s="30">
        <v>20</v>
      </c>
      <c r="I158" s="71">
        <v>5</v>
      </c>
      <c r="J158" s="30" t="s">
        <v>1155</v>
      </c>
      <c r="L158" s="30" t="s">
        <v>1156</v>
      </c>
      <c r="M158" s="32" t="b">
        <v>0</v>
      </c>
      <c r="N158" s="32" t="b">
        <v>0</v>
      </c>
      <c r="O158" s="30">
        <v>0</v>
      </c>
      <c r="P158" s="30" t="s">
        <v>268</v>
      </c>
      <c r="R158" s="30" t="s">
        <v>31</v>
      </c>
      <c r="S158" s="30" t="s">
        <v>793</v>
      </c>
      <c r="T158" s="72" t="s">
        <v>33</v>
      </c>
      <c r="U158" s="72" t="s">
        <v>33</v>
      </c>
      <c r="V158" s="72" t="s">
        <v>1157</v>
      </c>
      <c r="W158" s="30" t="s">
        <v>35</v>
      </c>
      <c r="X158" s="30" t="s">
        <v>835</v>
      </c>
      <c r="Y158" s="73" t="s">
        <v>1158</v>
      </c>
    </row>
    <row r="159" spans="1:25" x14ac:dyDescent="0.2">
      <c r="A159" s="74">
        <v>158</v>
      </c>
      <c r="B159" s="21" t="s">
        <v>1159</v>
      </c>
      <c r="C159" s="21" t="s">
        <v>1160</v>
      </c>
      <c r="D159" s="21" t="s">
        <v>356</v>
      </c>
      <c r="E159" s="21" t="s">
        <v>1161</v>
      </c>
      <c r="F159" s="21">
        <v>50</v>
      </c>
      <c r="G159" s="21">
        <v>300</v>
      </c>
      <c r="H159" s="21">
        <v>0</v>
      </c>
      <c r="I159" s="75">
        <v>15</v>
      </c>
      <c r="J159" s="21" t="s">
        <v>1162</v>
      </c>
      <c r="L159" s="21" t="s">
        <v>1163</v>
      </c>
      <c r="M159" s="76" t="b">
        <v>0</v>
      </c>
      <c r="N159" s="76" t="b">
        <v>0</v>
      </c>
      <c r="O159" s="21">
        <v>0</v>
      </c>
      <c r="P159" s="21" t="s">
        <v>122</v>
      </c>
      <c r="Q159" s="21" t="s">
        <v>157</v>
      </c>
      <c r="R159" s="21" t="s">
        <v>62</v>
      </c>
      <c r="S159" s="21" t="s">
        <v>793</v>
      </c>
      <c r="T159" s="77" t="s">
        <v>33</v>
      </c>
      <c r="U159" s="77" t="s">
        <v>33</v>
      </c>
      <c r="V159" s="77" t="s">
        <v>1164</v>
      </c>
      <c r="W159" s="21" t="s">
        <v>11</v>
      </c>
      <c r="X159" s="21" t="s">
        <v>835</v>
      </c>
      <c r="Y159" s="78" t="s">
        <v>1165</v>
      </c>
    </row>
    <row r="160" spans="1:25" x14ac:dyDescent="0.2">
      <c r="A160" s="70">
        <v>159</v>
      </c>
      <c r="B160" s="30" t="s">
        <v>1166</v>
      </c>
      <c r="C160" s="30" t="s">
        <v>1167</v>
      </c>
      <c r="D160" s="30" t="s">
        <v>95</v>
      </c>
      <c r="E160" s="30" t="s">
        <v>1168</v>
      </c>
      <c r="F160" s="30">
        <v>25</v>
      </c>
      <c r="G160" s="30">
        <v>2500</v>
      </c>
      <c r="H160" s="30">
        <v>1100</v>
      </c>
      <c r="I160" s="71">
        <v>10</v>
      </c>
      <c r="J160" s="30" t="s">
        <v>1169</v>
      </c>
      <c r="L160" s="30" t="s">
        <v>1170</v>
      </c>
      <c r="M160" s="32" t="b">
        <v>0</v>
      </c>
      <c r="N160" s="32" t="b">
        <v>0</v>
      </c>
      <c r="O160" s="30">
        <v>0</v>
      </c>
      <c r="P160" s="30" t="s">
        <v>180</v>
      </c>
      <c r="Q160" s="30" t="s">
        <v>1171</v>
      </c>
      <c r="R160" s="30" t="s">
        <v>740</v>
      </c>
      <c r="S160" s="30" t="s">
        <v>793</v>
      </c>
      <c r="T160" s="72" t="s">
        <v>33</v>
      </c>
      <c r="U160" s="72" t="s">
        <v>33</v>
      </c>
      <c r="V160" s="72" t="s">
        <v>1172</v>
      </c>
      <c r="W160" s="30" t="s">
        <v>11</v>
      </c>
      <c r="X160" s="30" t="s">
        <v>835</v>
      </c>
      <c r="Y160" s="73" t="s">
        <v>1173</v>
      </c>
    </row>
    <row r="161" spans="1:25" x14ac:dyDescent="0.2">
      <c r="A161" s="74">
        <v>160</v>
      </c>
      <c r="B161" s="21" t="s">
        <v>1174</v>
      </c>
      <c r="C161" s="21" t="s">
        <v>1174</v>
      </c>
      <c r="D161" s="21" t="s">
        <v>199</v>
      </c>
      <c r="E161" s="21" t="s">
        <v>1175</v>
      </c>
      <c r="F161" s="21">
        <v>100</v>
      </c>
      <c r="G161" s="21">
        <v>2700</v>
      </c>
      <c r="H161" s="21">
        <v>20</v>
      </c>
      <c r="I161" s="75">
        <v>20</v>
      </c>
      <c r="J161" s="21" t="s">
        <v>1176</v>
      </c>
      <c r="L161" s="21" t="s">
        <v>1177</v>
      </c>
      <c r="M161" s="76" t="b">
        <v>0</v>
      </c>
      <c r="N161" s="76" t="b">
        <v>0</v>
      </c>
      <c r="O161" s="21">
        <v>0</v>
      </c>
      <c r="P161" s="21" t="s">
        <v>122</v>
      </c>
      <c r="Q161" s="21" t="s">
        <v>1178</v>
      </c>
      <c r="R161" s="21" t="s">
        <v>366</v>
      </c>
      <c r="S161" s="21" t="s">
        <v>793</v>
      </c>
      <c r="T161" s="77" t="s">
        <v>33</v>
      </c>
      <c r="U161" s="77" t="s">
        <v>33</v>
      </c>
      <c r="V161" s="77" t="s">
        <v>1179</v>
      </c>
      <c r="W161" s="21" t="s">
        <v>54</v>
      </c>
      <c r="X161" s="21" t="s">
        <v>168</v>
      </c>
      <c r="Y161" s="78" t="s">
        <v>1180</v>
      </c>
    </row>
    <row r="162" spans="1:25" x14ac:dyDescent="0.2">
      <c r="A162" s="70">
        <v>161</v>
      </c>
      <c r="B162" s="30" t="s">
        <v>1181</v>
      </c>
      <c r="C162" s="30" t="s">
        <v>1182</v>
      </c>
      <c r="D162" s="30" t="s">
        <v>135</v>
      </c>
      <c r="E162" s="30" t="s">
        <v>1183</v>
      </c>
      <c r="F162" s="30">
        <v>250</v>
      </c>
      <c r="G162" s="30">
        <v>300</v>
      </c>
      <c r="H162" s="30">
        <v>120</v>
      </c>
      <c r="I162" s="71">
        <v>5</v>
      </c>
      <c r="J162" s="30" t="s">
        <v>1184</v>
      </c>
      <c r="L162" s="30" t="s">
        <v>1185</v>
      </c>
      <c r="M162" s="32" t="b">
        <v>0</v>
      </c>
      <c r="N162" s="32" t="b">
        <v>0</v>
      </c>
      <c r="O162" s="30">
        <v>0</v>
      </c>
      <c r="P162" s="30" t="s">
        <v>855</v>
      </c>
      <c r="Q162" s="30" t="s">
        <v>335</v>
      </c>
      <c r="R162" s="30" t="s">
        <v>43</v>
      </c>
      <c r="S162" s="30" t="s">
        <v>793</v>
      </c>
      <c r="T162" s="72" t="s">
        <v>33</v>
      </c>
      <c r="U162" s="72" t="s">
        <v>33</v>
      </c>
      <c r="V162" s="72" t="s">
        <v>1186</v>
      </c>
      <c r="W162" s="30" t="s">
        <v>35</v>
      </c>
      <c r="X162" s="30" t="s">
        <v>168</v>
      </c>
      <c r="Y162" s="73" t="s">
        <v>1187</v>
      </c>
    </row>
    <row r="163" spans="1:25" x14ac:dyDescent="0.2">
      <c r="A163" s="74">
        <v>162</v>
      </c>
      <c r="B163" s="21" t="s">
        <v>1188</v>
      </c>
      <c r="C163" s="21" t="s">
        <v>1189</v>
      </c>
      <c r="D163" s="21" t="s">
        <v>86</v>
      </c>
      <c r="E163" s="21" t="s">
        <v>1190</v>
      </c>
      <c r="F163" s="21">
        <v>100</v>
      </c>
      <c r="G163" s="21">
        <v>1</v>
      </c>
      <c r="H163" s="21">
        <v>1200</v>
      </c>
      <c r="I163" s="75">
        <v>15</v>
      </c>
      <c r="J163" s="21" t="s">
        <v>932</v>
      </c>
      <c r="M163" s="76" t="b">
        <v>1</v>
      </c>
      <c r="N163" s="76" t="b">
        <v>1</v>
      </c>
      <c r="O163" s="21">
        <v>0</v>
      </c>
      <c r="P163" s="21" t="s">
        <v>180</v>
      </c>
      <c r="Q163" s="21" t="s">
        <v>1191</v>
      </c>
      <c r="R163" s="21" t="s">
        <v>698</v>
      </c>
      <c r="S163" s="21" t="s">
        <v>793</v>
      </c>
      <c r="T163" s="77" t="s">
        <v>33</v>
      </c>
      <c r="U163" s="77" t="s">
        <v>33</v>
      </c>
      <c r="V163" s="77" t="s">
        <v>1192</v>
      </c>
      <c r="W163" s="21" t="s">
        <v>11</v>
      </c>
      <c r="X163" s="21" t="s">
        <v>1193</v>
      </c>
      <c r="Y163" s="78" t="s">
        <v>1194</v>
      </c>
    </row>
    <row r="164" spans="1:25" x14ac:dyDescent="0.2">
      <c r="A164" s="70">
        <v>163</v>
      </c>
      <c r="B164" s="30" t="s">
        <v>1195</v>
      </c>
      <c r="C164" s="30" t="s">
        <v>1195</v>
      </c>
      <c r="D164" s="30" t="s">
        <v>105</v>
      </c>
      <c r="E164" s="30" t="s">
        <v>1196</v>
      </c>
      <c r="F164" s="30">
        <v>150</v>
      </c>
      <c r="G164" s="30">
        <v>175</v>
      </c>
      <c r="H164" s="30">
        <v>50</v>
      </c>
      <c r="I164" s="71">
        <v>12</v>
      </c>
      <c r="J164" s="30" t="s">
        <v>1197</v>
      </c>
      <c r="L164" s="30" t="s">
        <v>1198</v>
      </c>
      <c r="M164" s="32" t="b">
        <v>0</v>
      </c>
      <c r="N164" s="32" t="b">
        <v>0</v>
      </c>
      <c r="O164" s="30">
        <v>0</v>
      </c>
      <c r="P164" s="30" t="s">
        <v>268</v>
      </c>
      <c r="Q164" s="30" t="s">
        <v>1118</v>
      </c>
      <c r="R164" s="30" t="s">
        <v>531</v>
      </c>
      <c r="S164" s="30" t="s">
        <v>793</v>
      </c>
      <c r="T164" s="72" t="s">
        <v>33</v>
      </c>
      <c r="U164" s="72" t="s">
        <v>3266</v>
      </c>
      <c r="V164" s="72" t="s">
        <v>1199</v>
      </c>
      <c r="W164" s="30" t="s">
        <v>111</v>
      </c>
      <c r="X164" s="30" t="s">
        <v>168</v>
      </c>
      <c r="Y164" s="73" t="s">
        <v>1200</v>
      </c>
    </row>
    <row r="165" spans="1:25" x14ac:dyDescent="0.2">
      <c r="A165" s="74">
        <v>164</v>
      </c>
      <c r="B165" s="21" t="s">
        <v>1201</v>
      </c>
      <c r="C165" s="21" t="s">
        <v>1202</v>
      </c>
      <c r="D165" s="21" t="s">
        <v>216</v>
      </c>
      <c r="E165" s="21" t="s">
        <v>1203</v>
      </c>
      <c r="F165" s="21">
        <v>50</v>
      </c>
      <c r="G165" s="21">
        <v>300</v>
      </c>
      <c r="H165" s="21">
        <v>22</v>
      </c>
      <c r="I165" s="75">
        <v>15</v>
      </c>
      <c r="J165" s="21" t="s">
        <v>1204</v>
      </c>
      <c r="L165" s="21" t="s">
        <v>1205</v>
      </c>
      <c r="M165" s="76" t="b">
        <v>1</v>
      </c>
      <c r="N165" s="76" t="b">
        <v>0</v>
      </c>
      <c r="O165" s="21">
        <v>0</v>
      </c>
      <c r="P165" s="21" t="s">
        <v>122</v>
      </c>
      <c r="Q165" s="21" t="s">
        <v>1206</v>
      </c>
      <c r="R165" s="21" t="s">
        <v>43</v>
      </c>
      <c r="S165" s="21" t="s">
        <v>793</v>
      </c>
      <c r="T165" s="77" t="s">
        <v>33</v>
      </c>
      <c r="U165" s="77" t="s">
        <v>3267</v>
      </c>
      <c r="V165" s="77" t="s">
        <v>1207</v>
      </c>
      <c r="W165" s="21" t="s">
        <v>11</v>
      </c>
      <c r="X165" s="21" t="s">
        <v>835</v>
      </c>
      <c r="Y165" s="78" t="s">
        <v>1208</v>
      </c>
    </row>
    <row r="166" spans="1:25" x14ac:dyDescent="0.2">
      <c r="A166" s="70">
        <v>165</v>
      </c>
      <c r="B166" s="30" t="s">
        <v>1209</v>
      </c>
      <c r="C166" s="30" t="s">
        <v>1210</v>
      </c>
      <c r="D166" s="30" t="s">
        <v>68</v>
      </c>
      <c r="E166" s="30" t="s">
        <v>1211</v>
      </c>
      <c r="F166" s="30">
        <v>225</v>
      </c>
      <c r="G166" s="30">
        <v>175</v>
      </c>
      <c r="H166" s="30">
        <v>120</v>
      </c>
      <c r="I166" s="71">
        <v>12</v>
      </c>
      <c r="J166" s="30" t="s">
        <v>1212</v>
      </c>
      <c r="K166" s="30" t="s">
        <v>1213</v>
      </c>
      <c r="M166" s="32" t="b">
        <v>0</v>
      </c>
      <c r="N166" s="32" t="b">
        <v>0</v>
      </c>
      <c r="O166" s="30">
        <v>0</v>
      </c>
      <c r="P166" s="30" t="s">
        <v>268</v>
      </c>
      <c r="Q166" s="30" t="s">
        <v>226</v>
      </c>
      <c r="R166" s="30" t="s">
        <v>187</v>
      </c>
      <c r="S166" s="30" t="s">
        <v>793</v>
      </c>
      <c r="T166" s="72" t="s">
        <v>33</v>
      </c>
      <c r="U166" s="72" t="s">
        <v>3268</v>
      </c>
      <c r="V166" s="72" t="s">
        <v>1214</v>
      </c>
      <c r="W166" s="30" t="s">
        <v>35</v>
      </c>
      <c r="X166" s="30" t="s">
        <v>835</v>
      </c>
      <c r="Y166" s="73" t="s">
        <v>1215</v>
      </c>
    </row>
    <row r="167" spans="1:25" x14ac:dyDescent="0.2">
      <c r="A167" s="74">
        <v>166</v>
      </c>
      <c r="B167" s="21" t="s">
        <v>1216</v>
      </c>
      <c r="C167" s="21" t="s">
        <v>1217</v>
      </c>
      <c r="D167" s="21" t="s">
        <v>78</v>
      </c>
      <c r="E167" s="21" t="s">
        <v>1218</v>
      </c>
      <c r="F167" s="21">
        <v>175</v>
      </c>
      <c r="G167" s="21">
        <v>300</v>
      </c>
      <c r="H167" s="21">
        <v>95</v>
      </c>
      <c r="I167" s="75">
        <v>12</v>
      </c>
      <c r="J167" s="21" t="s">
        <v>1219</v>
      </c>
      <c r="K167" s="21" t="s">
        <v>1220</v>
      </c>
      <c r="M167" s="76" t="b">
        <v>0</v>
      </c>
      <c r="N167" s="76" t="b">
        <v>0</v>
      </c>
      <c r="O167" s="21">
        <v>0</v>
      </c>
      <c r="P167" s="21" t="s">
        <v>180</v>
      </c>
      <c r="Q167" s="21" t="s">
        <v>476</v>
      </c>
      <c r="R167" s="21" t="s">
        <v>43</v>
      </c>
      <c r="S167" s="21" t="s">
        <v>793</v>
      </c>
      <c r="T167" s="77" t="s">
        <v>33</v>
      </c>
      <c r="U167" s="77" t="s">
        <v>3258</v>
      </c>
      <c r="V167" s="77" t="s">
        <v>1221</v>
      </c>
      <c r="W167" s="21" t="s">
        <v>35</v>
      </c>
      <c r="X167" s="21" t="s">
        <v>168</v>
      </c>
      <c r="Y167" s="78" t="s">
        <v>1222</v>
      </c>
    </row>
    <row r="168" spans="1:25" x14ac:dyDescent="0.2">
      <c r="A168" s="70">
        <v>167</v>
      </c>
      <c r="B168" s="30" t="s">
        <v>1223</v>
      </c>
      <c r="C168" s="30" t="s">
        <v>1224</v>
      </c>
      <c r="D168" s="30" t="s">
        <v>356</v>
      </c>
      <c r="E168" s="30" t="s">
        <v>1225</v>
      </c>
      <c r="F168" s="30">
        <v>300</v>
      </c>
      <c r="G168" s="30">
        <v>300</v>
      </c>
      <c r="H168" s="30">
        <v>20</v>
      </c>
      <c r="I168" s="71">
        <v>20</v>
      </c>
      <c r="J168" s="30" t="s">
        <v>1226</v>
      </c>
      <c r="K168" s="30" t="s">
        <v>1227</v>
      </c>
      <c r="M168" s="32" t="b">
        <v>0</v>
      </c>
      <c r="N168" s="32" t="b">
        <v>0</v>
      </c>
      <c r="O168" s="30">
        <v>0</v>
      </c>
      <c r="P168" s="30" t="s">
        <v>180</v>
      </c>
      <c r="Q168" s="30" t="s">
        <v>1228</v>
      </c>
      <c r="R168" s="30" t="s">
        <v>43</v>
      </c>
      <c r="S168" s="30" t="s">
        <v>793</v>
      </c>
      <c r="T168" s="72" t="s">
        <v>33</v>
      </c>
      <c r="U168" s="72" t="s">
        <v>33</v>
      </c>
      <c r="V168" s="72" t="s">
        <v>1229</v>
      </c>
      <c r="W168" s="30" t="s">
        <v>35</v>
      </c>
      <c r="X168" s="30" t="s">
        <v>168</v>
      </c>
      <c r="Y168" s="73" t="s">
        <v>1230</v>
      </c>
    </row>
    <row r="169" spans="1:25" x14ac:dyDescent="0.2">
      <c r="A169" s="74">
        <v>168</v>
      </c>
      <c r="B169" s="21" t="s">
        <v>1231</v>
      </c>
      <c r="C169" s="21" t="s">
        <v>1232</v>
      </c>
      <c r="D169" s="21" t="s">
        <v>199</v>
      </c>
      <c r="E169" s="21" t="s">
        <v>1233</v>
      </c>
      <c r="F169" s="21">
        <v>25</v>
      </c>
      <c r="G169" s="21">
        <v>300</v>
      </c>
      <c r="H169" s="21">
        <v>20</v>
      </c>
      <c r="I169" s="75">
        <v>5</v>
      </c>
      <c r="J169" s="21" t="s">
        <v>1234</v>
      </c>
      <c r="K169" s="21" t="s">
        <v>1235</v>
      </c>
      <c r="M169" s="76" t="b">
        <v>0</v>
      </c>
      <c r="N169" s="76" t="b">
        <v>0</v>
      </c>
      <c r="O169" s="21">
        <v>0</v>
      </c>
      <c r="P169" s="21" t="s">
        <v>122</v>
      </c>
      <c r="Q169" s="21" t="s">
        <v>1236</v>
      </c>
      <c r="R169" s="21" t="s">
        <v>366</v>
      </c>
      <c r="S169" s="21" t="s">
        <v>793</v>
      </c>
      <c r="T169" s="77" t="s">
        <v>33</v>
      </c>
      <c r="U169" s="77" t="s">
        <v>3252</v>
      </c>
      <c r="V169" s="77" t="s">
        <v>1237</v>
      </c>
      <c r="W169" s="21" t="s">
        <v>35</v>
      </c>
      <c r="X169" s="21" t="s">
        <v>1238</v>
      </c>
      <c r="Y169" s="78" t="s">
        <v>1239</v>
      </c>
    </row>
    <row r="170" spans="1:25" x14ac:dyDescent="0.2">
      <c r="A170" s="70">
        <v>169</v>
      </c>
      <c r="B170" s="30" t="s">
        <v>1240</v>
      </c>
      <c r="C170" s="30" t="s">
        <v>1241</v>
      </c>
      <c r="D170" s="30" t="s">
        <v>78</v>
      </c>
      <c r="E170" s="30" t="s">
        <v>1242</v>
      </c>
      <c r="F170" s="30">
        <v>175</v>
      </c>
      <c r="G170" s="30">
        <v>600</v>
      </c>
      <c r="H170" s="30">
        <v>70</v>
      </c>
      <c r="I170" s="71">
        <v>15</v>
      </c>
      <c r="J170" s="30" t="s">
        <v>1243</v>
      </c>
      <c r="K170" s="30" t="s">
        <v>1244</v>
      </c>
      <c r="L170" s="30" t="s">
        <v>1245</v>
      </c>
      <c r="M170" s="32" t="b">
        <v>0</v>
      </c>
      <c r="N170" s="32" t="b">
        <v>0</v>
      </c>
      <c r="O170" s="30">
        <v>0</v>
      </c>
      <c r="P170" s="30" t="s">
        <v>268</v>
      </c>
      <c r="R170" s="30" t="s">
        <v>740</v>
      </c>
      <c r="S170" s="30" t="s">
        <v>793</v>
      </c>
      <c r="T170" s="72" t="s">
        <v>3269</v>
      </c>
      <c r="U170" s="72" t="s">
        <v>33</v>
      </c>
      <c r="V170" s="72" t="s">
        <v>1246</v>
      </c>
      <c r="W170" s="30" t="s">
        <v>111</v>
      </c>
      <c r="X170" s="30" t="s">
        <v>168</v>
      </c>
      <c r="Y170" s="73" t="s">
        <v>1247</v>
      </c>
    </row>
    <row r="171" spans="1:25" x14ac:dyDescent="0.2">
      <c r="A171" s="74">
        <v>170</v>
      </c>
      <c r="B171" s="21" t="s">
        <v>1248</v>
      </c>
      <c r="C171" s="21" t="s">
        <v>1249</v>
      </c>
      <c r="D171" s="21" t="s">
        <v>40</v>
      </c>
      <c r="E171" s="21" t="s">
        <v>1250</v>
      </c>
      <c r="F171" s="21">
        <v>100</v>
      </c>
      <c r="G171" s="21">
        <v>300</v>
      </c>
      <c r="H171" s="21">
        <v>26</v>
      </c>
      <c r="I171" s="75">
        <v>15</v>
      </c>
      <c r="J171" s="21" t="s">
        <v>1251</v>
      </c>
      <c r="K171" s="21" t="s">
        <v>1252</v>
      </c>
      <c r="L171" s="21" t="s">
        <v>1253</v>
      </c>
      <c r="M171" s="76" t="b">
        <v>0</v>
      </c>
      <c r="N171" s="76" t="b">
        <v>0</v>
      </c>
      <c r="O171" s="21">
        <v>50</v>
      </c>
      <c r="P171" s="21" t="s">
        <v>180</v>
      </c>
      <c r="Q171" s="21" t="s">
        <v>1254</v>
      </c>
      <c r="R171" s="21" t="s">
        <v>43</v>
      </c>
      <c r="S171" s="21" t="s">
        <v>793</v>
      </c>
      <c r="T171" s="77" t="s">
        <v>33</v>
      </c>
      <c r="U171" s="77" t="s">
        <v>33</v>
      </c>
      <c r="V171" s="77" t="s">
        <v>1255</v>
      </c>
      <c r="W171" s="21" t="s">
        <v>45</v>
      </c>
      <c r="X171" s="21" t="s">
        <v>835</v>
      </c>
      <c r="Y171" s="78" t="s">
        <v>1256</v>
      </c>
    </row>
    <row r="172" spans="1:25" x14ac:dyDescent="0.2">
      <c r="A172" s="70">
        <v>171</v>
      </c>
      <c r="B172" s="30" t="s">
        <v>1257</v>
      </c>
      <c r="C172" s="30" t="s">
        <v>1258</v>
      </c>
      <c r="D172" s="30" t="s">
        <v>49</v>
      </c>
      <c r="E172" s="30" t="s">
        <v>1259</v>
      </c>
      <c r="F172" s="30">
        <v>75</v>
      </c>
      <c r="G172" s="30">
        <v>2000</v>
      </c>
      <c r="H172" s="30">
        <v>30</v>
      </c>
      <c r="I172" s="71">
        <v>12</v>
      </c>
      <c r="J172" s="30" t="s">
        <v>1260</v>
      </c>
      <c r="K172" s="30" t="s">
        <v>1261</v>
      </c>
      <c r="M172" s="32" t="b">
        <v>0</v>
      </c>
      <c r="N172" s="32" t="b">
        <v>0</v>
      </c>
      <c r="O172" s="30">
        <v>0</v>
      </c>
      <c r="P172" s="30" t="s">
        <v>180</v>
      </c>
      <c r="Q172" s="30" t="s">
        <v>109</v>
      </c>
      <c r="R172" s="30" t="s">
        <v>158</v>
      </c>
      <c r="S172" s="30" t="s">
        <v>793</v>
      </c>
      <c r="T172" s="72" t="s">
        <v>33</v>
      </c>
      <c r="U172" s="72" t="s">
        <v>3269</v>
      </c>
      <c r="V172" s="72" t="s">
        <v>1262</v>
      </c>
      <c r="W172" s="30" t="s">
        <v>111</v>
      </c>
      <c r="X172" s="30" t="s">
        <v>835</v>
      </c>
      <c r="Y172" s="73" t="s">
        <v>1263</v>
      </c>
    </row>
    <row r="173" spans="1:25" x14ac:dyDescent="0.2">
      <c r="A173" s="74">
        <v>172</v>
      </c>
      <c r="B173" s="21" t="s">
        <v>1264</v>
      </c>
      <c r="C173" s="21" t="s">
        <v>1265</v>
      </c>
      <c r="D173" s="21" t="s">
        <v>199</v>
      </c>
      <c r="E173" s="21" t="s">
        <v>1266</v>
      </c>
      <c r="F173" s="21">
        <v>300</v>
      </c>
      <c r="G173" s="21">
        <v>300</v>
      </c>
      <c r="H173" s="21">
        <v>30</v>
      </c>
      <c r="I173" s="75">
        <v>5</v>
      </c>
      <c r="J173" s="21" t="s">
        <v>1267</v>
      </c>
      <c r="K173" s="21" t="s">
        <v>1268</v>
      </c>
      <c r="M173" s="76" t="b">
        <v>0</v>
      </c>
      <c r="N173" s="76" t="b">
        <v>0</v>
      </c>
      <c r="O173" s="21">
        <v>0</v>
      </c>
      <c r="P173" s="21" t="s">
        <v>666</v>
      </c>
      <c r="Q173" s="21" t="s">
        <v>1269</v>
      </c>
      <c r="R173" s="21" t="s">
        <v>366</v>
      </c>
      <c r="S173" s="21" t="s">
        <v>793</v>
      </c>
      <c r="T173" s="77" t="s">
        <v>33</v>
      </c>
      <c r="U173" s="77" t="s">
        <v>33</v>
      </c>
      <c r="V173" s="77" t="s">
        <v>1270</v>
      </c>
      <c r="W173" s="21" t="s">
        <v>35</v>
      </c>
      <c r="X173" s="21" t="s">
        <v>1271</v>
      </c>
      <c r="Y173" s="78" t="s">
        <v>1272</v>
      </c>
    </row>
    <row r="174" spans="1:25" x14ac:dyDescent="0.2">
      <c r="A174" s="70">
        <v>173</v>
      </c>
      <c r="B174" s="30" t="s">
        <v>1273</v>
      </c>
      <c r="C174" s="30" t="s">
        <v>1274</v>
      </c>
      <c r="D174" s="30" t="s">
        <v>95</v>
      </c>
      <c r="E174" s="30" t="s">
        <v>1275</v>
      </c>
      <c r="F174" s="30">
        <v>75</v>
      </c>
      <c r="G174" s="30">
        <v>1</v>
      </c>
      <c r="H174" s="30">
        <v>65</v>
      </c>
      <c r="I174" s="71">
        <v>10</v>
      </c>
      <c r="J174" s="30" t="s">
        <v>932</v>
      </c>
      <c r="K174" s="30" t="s">
        <v>1276</v>
      </c>
      <c r="M174" s="32" t="b">
        <v>1</v>
      </c>
      <c r="N174" s="32" t="b">
        <v>1</v>
      </c>
      <c r="O174" s="30">
        <v>0</v>
      </c>
      <c r="P174" s="30" t="s">
        <v>180</v>
      </c>
      <c r="Q174" s="30" t="s">
        <v>203</v>
      </c>
      <c r="R174" s="30" t="s">
        <v>187</v>
      </c>
      <c r="S174" s="30" t="s">
        <v>793</v>
      </c>
      <c r="T174" s="72" t="s">
        <v>33</v>
      </c>
      <c r="U174" s="72" t="s">
        <v>3270</v>
      </c>
      <c r="V174" s="72" t="s">
        <v>1277</v>
      </c>
      <c r="W174" s="30" t="s">
        <v>11</v>
      </c>
      <c r="X174" s="30" t="s">
        <v>835</v>
      </c>
      <c r="Y174" s="73" t="s">
        <v>1278</v>
      </c>
    </row>
    <row r="175" spans="1:25" x14ac:dyDescent="0.2">
      <c r="A175" s="74">
        <v>174</v>
      </c>
      <c r="B175" s="21" t="s">
        <v>1279</v>
      </c>
      <c r="C175" s="21" t="s">
        <v>1280</v>
      </c>
      <c r="D175" s="21" t="s">
        <v>59</v>
      </c>
      <c r="E175" s="21" t="s">
        <v>1281</v>
      </c>
      <c r="F175" s="21">
        <v>100</v>
      </c>
      <c r="G175" s="21">
        <v>1</v>
      </c>
      <c r="H175" s="21">
        <v>1000</v>
      </c>
      <c r="I175" s="75">
        <v>35</v>
      </c>
      <c r="J175" s="21" t="s">
        <v>932</v>
      </c>
      <c r="K175" s="21" t="s">
        <v>1282</v>
      </c>
      <c r="M175" s="76" t="b">
        <v>1</v>
      </c>
      <c r="N175" s="76" t="b">
        <v>1</v>
      </c>
      <c r="O175" s="21">
        <v>0</v>
      </c>
      <c r="P175" s="21" t="s">
        <v>180</v>
      </c>
      <c r="Q175" s="21" t="s">
        <v>1283</v>
      </c>
      <c r="R175" s="21" t="s">
        <v>72</v>
      </c>
      <c r="S175" s="21" t="s">
        <v>793</v>
      </c>
      <c r="T175" s="77" t="s">
        <v>33</v>
      </c>
      <c r="U175" s="77" t="s">
        <v>3271</v>
      </c>
      <c r="V175" s="77" t="s">
        <v>1284</v>
      </c>
      <c r="W175" s="21" t="s">
        <v>11</v>
      </c>
      <c r="X175" s="21" t="s">
        <v>835</v>
      </c>
      <c r="Y175" s="78" t="s">
        <v>1285</v>
      </c>
    </row>
    <row r="176" spans="1:25" x14ac:dyDescent="0.2">
      <c r="A176" s="70">
        <v>175</v>
      </c>
      <c r="B176" s="30" t="s">
        <v>1286</v>
      </c>
      <c r="C176" s="30" t="s">
        <v>1287</v>
      </c>
      <c r="D176" s="30" t="s">
        <v>86</v>
      </c>
      <c r="E176" s="30" t="s">
        <v>1288</v>
      </c>
      <c r="F176" s="30">
        <v>175</v>
      </c>
      <c r="G176" s="30">
        <v>550</v>
      </c>
      <c r="H176" s="30">
        <v>200</v>
      </c>
      <c r="I176" s="71">
        <v>12</v>
      </c>
      <c r="J176" s="30" t="s">
        <v>1289</v>
      </c>
      <c r="K176" s="30" t="s">
        <v>1290</v>
      </c>
      <c r="M176" s="32" t="b">
        <v>0</v>
      </c>
      <c r="N176" s="32" t="b">
        <v>0</v>
      </c>
      <c r="O176" s="30">
        <v>0</v>
      </c>
      <c r="P176" s="30" t="s">
        <v>268</v>
      </c>
      <c r="Q176" s="30" t="s">
        <v>240</v>
      </c>
      <c r="R176" s="30" t="s">
        <v>366</v>
      </c>
      <c r="S176" s="30" t="s">
        <v>793</v>
      </c>
      <c r="T176" s="72" t="s">
        <v>33</v>
      </c>
      <c r="U176" s="72" t="s">
        <v>3252</v>
      </c>
      <c r="V176" s="72" t="s">
        <v>1291</v>
      </c>
      <c r="W176" s="30" t="s">
        <v>111</v>
      </c>
      <c r="X176" s="30" t="s">
        <v>1292</v>
      </c>
      <c r="Y176" s="73" t="s">
        <v>1293</v>
      </c>
    </row>
    <row r="177" spans="1:25" x14ac:dyDescent="0.2">
      <c r="A177" s="74">
        <v>176</v>
      </c>
      <c r="B177" s="21" t="s">
        <v>1294</v>
      </c>
      <c r="C177" s="21" t="s">
        <v>1295</v>
      </c>
      <c r="D177" s="21" t="s">
        <v>505</v>
      </c>
      <c r="E177" s="21" t="s">
        <v>1296</v>
      </c>
      <c r="F177" s="21">
        <v>200</v>
      </c>
      <c r="G177" s="21">
        <v>350</v>
      </c>
      <c r="H177" s="21">
        <v>100</v>
      </c>
      <c r="I177" s="75">
        <v>10</v>
      </c>
      <c r="J177" s="21" t="s">
        <v>1297</v>
      </c>
      <c r="K177" s="21" t="s">
        <v>1298</v>
      </c>
      <c r="L177" s="21" t="s">
        <v>1299</v>
      </c>
      <c r="M177" s="76" t="b">
        <v>0</v>
      </c>
      <c r="N177" s="76" t="b">
        <v>0</v>
      </c>
      <c r="O177" s="21">
        <v>0</v>
      </c>
      <c r="P177" s="21" t="s">
        <v>268</v>
      </c>
      <c r="Q177" s="21" t="s">
        <v>1300</v>
      </c>
      <c r="R177" s="21" t="s">
        <v>130</v>
      </c>
      <c r="S177" s="21" t="s">
        <v>793</v>
      </c>
      <c r="T177" s="77" t="s">
        <v>3272</v>
      </c>
      <c r="U177" s="77" t="s">
        <v>3258</v>
      </c>
      <c r="V177" s="77" t="s">
        <v>1301</v>
      </c>
      <c r="W177" s="21" t="s">
        <v>35</v>
      </c>
      <c r="X177" s="21" t="s">
        <v>168</v>
      </c>
      <c r="Y177" s="78" t="s">
        <v>1302</v>
      </c>
    </row>
    <row r="178" spans="1:25" x14ac:dyDescent="0.2">
      <c r="A178" s="70">
        <v>177</v>
      </c>
      <c r="B178" s="30" t="s">
        <v>1303</v>
      </c>
      <c r="C178" s="30" t="s">
        <v>1304</v>
      </c>
      <c r="D178" s="30" t="s">
        <v>216</v>
      </c>
      <c r="E178" s="30" t="s">
        <v>1305</v>
      </c>
      <c r="F178" s="30">
        <v>125</v>
      </c>
      <c r="G178" s="30">
        <v>300</v>
      </c>
      <c r="H178" s="30">
        <v>30</v>
      </c>
      <c r="I178" s="71">
        <v>15</v>
      </c>
      <c r="J178" s="30" t="s">
        <v>1306</v>
      </c>
      <c r="K178" s="30" t="s">
        <v>1307</v>
      </c>
      <c r="L178" s="30" t="s">
        <v>1308</v>
      </c>
      <c r="M178" s="32" t="b">
        <v>0</v>
      </c>
      <c r="N178" s="32" t="b">
        <v>0</v>
      </c>
      <c r="O178" s="30">
        <v>0</v>
      </c>
      <c r="P178" s="30" t="s">
        <v>180</v>
      </c>
      <c r="Q178" s="30" t="s">
        <v>1309</v>
      </c>
      <c r="R178" s="30" t="s">
        <v>130</v>
      </c>
      <c r="S178" s="30" t="s">
        <v>793</v>
      </c>
      <c r="T178" s="72" t="s">
        <v>33</v>
      </c>
      <c r="U178" s="72" t="s">
        <v>3273</v>
      </c>
      <c r="V178" s="72" t="s">
        <v>1310</v>
      </c>
      <c r="W178" s="30" t="s">
        <v>35</v>
      </c>
      <c r="X178" s="30" t="s">
        <v>168</v>
      </c>
      <c r="Y178" s="73" t="s">
        <v>1311</v>
      </c>
    </row>
    <row r="179" spans="1:25" x14ac:dyDescent="0.2">
      <c r="A179" s="74">
        <v>178</v>
      </c>
      <c r="B179" s="21" t="s">
        <v>1312</v>
      </c>
      <c r="C179" s="21" t="s">
        <v>1313</v>
      </c>
      <c r="D179" s="21" t="s">
        <v>199</v>
      </c>
      <c r="E179" s="21" t="s">
        <v>1314</v>
      </c>
      <c r="F179" s="21">
        <v>0</v>
      </c>
      <c r="G179" s="21">
        <v>300</v>
      </c>
      <c r="H179" s="21">
        <v>30</v>
      </c>
      <c r="I179" s="75">
        <v>5</v>
      </c>
      <c r="J179" s="21" t="s">
        <v>1315</v>
      </c>
      <c r="K179" s="21" t="s">
        <v>1316</v>
      </c>
      <c r="M179" s="76" t="b">
        <v>0</v>
      </c>
      <c r="N179" s="76" t="b">
        <v>0</v>
      </c>
      <c r="O179" s="21">
        <v>0</v>
      </c>
      <c r="P179" s="21" t="s">
        <v>30</v>
      </c>
      <c r="Q179" s="21" t="s">
        <v>1317</v>
      </c>
      <c r="R179" s="21" t="s">
        <v>366</v>
      </c>
      <c r="S179" s="21" t="s">
        <v>793</v>
      </c>
      <c r="T179" s="77" t="s">
        <v>33</v>
      </c>
      <c r="U179" s="77" t="s">
        <v>33</v>
      </c>
      <c r="V179" s="77" t="s">
        <v>1318</v>
      </c>
      <c r="W179" s="21" t="s">
        <v>111</v>
      </c>
      <c r="X179" s="21" t="s">
        <v>1319</v>
      </c>
      <c r="Y179" s="78" t="s">
        <v>1320</v>
      </c>
    </row>
    <row r="180" spans="1:25" x14ac:dyDescent="0.2">
      <c r="A180" s="70">
        <v>179</v>
      </c>
      <c r="B180" s="30" t="s">
        <v>1321</v>
      </c>
      <c r="C180" s="30" t="s">
        <v>1322</v>
      </c>
      <c r="D180" s="30" t="s">
        <v>49</v>
      </c>
      <c r="E180" s="30" t="s">
        <v>1323</v>
      </c>
      <c r="F180" s="30">
        <v>200</v>
      </c>
      <c r="G180" s="30">
        <v>1100</v>
      </c>
      <c r="H180" s="30">
        <v>750</v>
      </c>
      <c r="I180" s="71">
        <v>30</v>
      </c>
      <c r="J180" s="30" t="s">
        <v>1324</v>
      </c>
      <c r="K180" s="30" t="s">
        <v>1325</v>
      </c>
      <c r="M180" s="32" t="b">
        <v>0</v>
      </c>
      <c r="N180" s="32" t="b">
        <v>0</v>
      </c>
      <c r="O180" s="30">
        <v>0</v>
      </c>
      <c r="P180" s="30" t="s">
        <v>268</v>
      </c>
      <c r="Q180" s="30" t="s">
        <v>1010</v>
      </c>
      <c r="R180" s="30" t="s">
        <v>366</v>
      </c>
      <c r="S180" s="30" t="s">
        <v>793</v>
      </c>
      <c r="T180" s="72" t="s">
        <v>33</v>
      </c>
      <c r="U180" s="72" t="s">
        <v>33</v>
      </c>
      <c r="V180" s="72" t="s">
        <v>1326</v>
      </c>
      <c r="W180" s="30" t="s">
        <v>54</v>
      </c>
      <c r="X180" s="30" t="s">
        <v>835</v>
      </c>
      <c r="Y180" s="73" t="s">
        <v>1327</v>
      </c>
    </row>
    <row r="181" spans="1:25" x14ac:dyDescent="0.2">
      <c r="A181" s="74">
        <v>180</v>
      </c>
      <c r="B181" s="21" t="s">
        <v>1328</v>
      </c>
      <c r="C181" s="21" t="s">
        <v>1329</v>
      </c>
      <c r="D181" s="21" t="s">
        <v>78</v>
      </c>
      <c r="E181" s="21" t="s">
        <v>1330</v>
      </c>
      <c r="F181" s="21">
        <v>125</v>
      </c>
      <c r="G181" s="21">
        <v>400</v>
      </c>
      <c r="H181" s="21">
        <v>100</v>
      </c>
      <c r="I181" s="75">
        <v>10</v>
      </c>
      <c r="J181" s="21" t="s">
        <v>1331</v>
      </c>
      <c r="K181" s="21" t="s">
        <v>1332</v>
      </c>
      <c r="M181" s="76" t="b">
        <v>0</v>
      </c>
      <c r="N181" s="76" t="b">
        <v>0</v>
      </c>
      <c r="O181" s="21">
        <v>0</v>
      </c>
      <c r="P181" s="21" t="s">
        <v>268</v>
      </c>
      <c r="Q181" s="21" t="s">
        <v>1333</v>
      </c>
      <c r="R181" s="21" t="s">
        <v>72</v>
      </c>
      <c r="S181" s="21" t="s">
        <v>793</v>
      </c>
      <c r="T181" s="77" t="s">
        <v>33</v>
      </c>
      <c r="U181" s="77" t="s">
        <v>3274</v>
      </c>
      <c r="V181" s="77" t="s">
        <v>1334</v>
      </c>
      <c r="W181" s="21" t="s">
        <v>35</v>
      </c>
      <c r="X181" s="21" t="s">
        <v>168</v>
      </c>
      <c r="Y181" s="78" t="s">
        <v>1335</v>
      </c>
    </row>
    <row r="182" spans="1:25" x14ac:dyDescent="0.2">
      <c r="A182" s="70">
        <v>181</v>
      </c>
      <c r="B182" s="30" t="s">
        <v>1336</v>
      </c>
      <c r="C182" s="30" t="s">
        <v>1337</v>
      </c>
      <c r="D182" s="30" t="s">
        <v>68</v>
      </c>
      <c r="E182" s="30" t="s">
        <v>1338</v>
      </c>
      <c r="F182" s="30">
        <v>150</v>
      </c>
      <c r="G182" s="30">
        <v>300</v>
      </c>
      <c r="H182" s="30">
        <v>275</v>
      </c>
      <c r="I182" s="71">
        <v>8</v>
      </c>
      <c r="J182" s="30" t="s">
        <v>1339</v>
      </c>
      <c r="K182" s="30" t="s">
        <v>1340</v>
      </c>
      <c r="M182" s="32" t="b">
        <v>0</v>
      </c>
      <c r="N182" s="32" t="b">
        <v>0</v>
      </c>
      <c r="O182" s="30">
        <v>0</v>
      </c>
      <c r="P182" s="30" t="s">
        <v>180</v>
      </c>
      <c r="Q182" s="30" t="s">
        <v>226</v>
      </c>
      <c r="R182" s="30" t="s">
        <v>130</v>
      </c>
      <c r="S182" s="30" t="s">
        <v>793</v>
      </c>
      <c r="T182" s="72" t="s">
        <v>33</v>
      </c>
      <c r="U182" s="72" t="s">
        <v>3273</v>
      </c>
      <c r="V182" s="72" t="s">
        <v>1341</v>
      </c>
      <c r="W182" s="30" t="s">
        <v>35</v>
      </c>
      <c r="X182" s="30" t="s">
        <v>835</v>
      </c>
      <c r="Y182" s="73" t="s">
        <v>1342</v>
      </c>
    </row>
    <row r="183" spans="1:25" x14ac:dyDescent="0.2">
      <c r="A183" s="74">
        <v>182</v>
      </c>
      <c r="B183" s="21" t="s">
        <v>1343</v>
      </c>
      <c r="C183" s="21" t="s">
        <v>1344</v>
      </c>
      <c r="D183" s="21" t="s">
        <v>95</v>
      </c>
      <c r="E183" s="21" t="s">
        <v>1345</v>
      </c>
      <c r="F183" s="21">
        <v>150</v>
      </c>
      <c r="G183" s="21">
        <v>300</v>
      </c>
      <c r="H183" s="21">
        <v>50</v>
      </c>
      <c r="I183" s="75">
        <v>20</v>
      </c>
      <c r="J183" s="21" t="s">
        <v>1346</v>
      </c>
      <c r="K183" s="21" t="s">
        <v>1347</v>
      </c>
      <c r="M183" s="76" t="b">
        <v>0</v>
      </c>
      <c r="N183" s="76" t="b">
        <v>0</v>
      </c>
      <c r="O183" s="21">
        <v>0</v>
      </c>
      <c r="P183" s="21" t="s">
        <v>268</v>
      </c>
      <c r="Q183" s="21" t="s">
        <v>226</v>
      </c>
      <c r="R183" s="21" t="s">
        <v>72</v>
      </c>
      <c r="S183" s="21" t="s">
        <v>793</v>
      </c>
      <c r="T183" s="77" t="s">
        <v>33</v>
      </c>
      <c r="U183" s="77" t="s">
        <v>33</v>
      </c>
      <c r="V183" s="77" t="s">
        <v>1348</v>
      </c>
      <c r="W183" s="21" t="s">
        <v>35</v>
      </c>
      <c r="X183" s="21" t="s">
        <v>835</v>
      </c>
      <c r="Y183" s="78" t="s">
        <v>1349</v>
      </c>
    </row>
    <row r="184" spans="1:25" x14ac:dyDescent="0.2">
      <c r="A184" s="70">
        <v>183</v>
      </c>
      <c r="B184" s="30" t="s">
        <v>1350</v>
      </c>
      <c r="C184" s="30" t="s">
        <v>1351</v>
      </c>
      <c r="D184" s="30" t="s">
        <v>59</v>
      </c>
      <c r="E184" s="30" t="s">
        <v>1352</v>
      </c>
      <c r="F184" s="30">
        <v>175</v>
      </c>
      <c r="G184" s="30">
        <v>300</v>
      </c>
      <c r="H184" s="30">
        <v>1100</v>
      </c>
      <c r="I184" s="71">
        <v>15</v>
      </c>
      <c r="J184" s="30" t="s">
        <v>1353</v>
      </c>
      <c r="K184" s="30" t="s">
        <v>1354</v>
      </c>
      <c r="M184" s="32" t="b">
        <v>1</v>
      </c>
      <c r="N184" s="32" t="b">
        <v>0</v>
      </c>
      <c r="O184" s="30">
        <v>0</v>
      </c>
      <c r="P184" s="30" t="s">
        <v>855</v>
      </c>
      <c r="Q184" s="30" t="s">
        <v>603</v>
      </c>
      <c r="R184" s="30" t="s">
        <v>366</v>
      </c>
      <c r="S184" s="30" t="s">
        <v>793</v>
      </c>
      <c r="T184" s="72" t="s">
        <v>33</v>
      </c>
      <c r="U184" s="72" t="s">
        <v>3275</v>
      </c>
      <c r="V184" s="72" t="s">
        <v>1355</v>
      </c>
      <c r="W184" s="30" t="s">
        <v>11</v>
      </c>
      <c r="X184" s="30" t="s">
        <v>1356</v>
      </c>
      <c r="Y184" s="73" t="s">
        <v>1357</v>
      </c>
    </row>
    <row r="185" spans="1:25" x14ac:dyDescent="0.2">
      <c r="A185" s="74">
        <v>184</v>
      </c>
      <c r="B185" s="21" t="s">
        <v>1358</v>
      </c>
      <c r="C185" s="21" t="s">
        <v>1359</v>
      </c>
      <c r="D185" s="21" t="s">
        <v>135</v>
      </c>
      <c r="E185" s="21" t="s">
        <v>1360</v>
      </c>
      <c r="F185" s="21">
        <v>175</v>
      </c>
      <c r="G185" s="21">
        <v>300</v>
      </c>
      <c r="H185" s="21">
        <v>30</v>
      </c>
      <c r="I185" s="75">
        <v>12</v>
      </c>
      <c r="J185" s="21" t="s">
        <v>1361</v>
      </c>
      <c r="K185" s="21" t="s">
        <v>1362</v>
      </c>
      <c r="M185" s="76" t="b">
        <v>0</v>
      </c>
      <c r="N185" s="76" t="b">
        <v>0</v>
      </c>
      <c r="O185" s="21">
        <v>0</v>
      </c>
      <c r="P185" s="21" t="s">
        <v>268</v>
      </c>
      <c r="Q185" s="21" t="s">
        <v>801</v>
      </c>
      <c r="R185" s="21" t="s">
        <v>72</v>
      </c>
      <c r="S185" s="21" t="s">
        <v>793</v>
      </c>
      <c r="T185" s="77" t="s">
        <v>33</v>
      </c>
      <c r="U185" s="77" t="s">
        <v>3274</v>
      </c>
      <c r="V185" s="77" t="s">
        <v>1363</v>
      </c>
      <c r="W185" s="21" t="s">
        <v>111</v>
      </c>
      <c r="X185" s="21" t="s">
        <v>835</v>
      </c>
      <c r="Y185" s="78" t="s">
        <v>1364</v>
      </c>
    </row>
    <row r="186" spans="1:25" x14ac:dyDescent="0.2">
      <c r="A186" s="70">
        <v>185</v>
      </c>
      <c r="B186" s="30" t="s">
        <v>1365</v>
      </c>
      <c r="C186" s="30" t="s">
        <v>1366</v>
      </c>
      <c r="D186" s="30" t="s">
        <v>86</v>
      </c>
      <c r="E186" s="30" t="s">
        <v>1367</v>
      </c>
      <c r="F186" s="30">
        <v>175</v>
      </c>
      <c r="G186" s="30">
        <v>300</v>
      </c>
      <c r="H186" s="30">
        <v>65</v>
      </c>
      <c r="I186" s="71">
        <v>12</v>
      </c>
      <c r="J186" s="30" t="s">
        <v>1368</v>
      </c>
      <c r="K186" s="30" t="s">
        <v>1369</v>
      </c>
      <c r="M186" s="32" t="b">
        <v>0</v>
      </c>
      <c r="N186" s="32" t="b">
        <v>0</v>
      </c>
      <c r="O186" s="30">
        <v>0</v>
      </c>
      <c r="P186" s="30" t="s">
        <v>180</v>
      </c>
      <c r="Q186" s="30" t="s">
        <v>1370</v>
      </c>
      <c r="R186" s="30" t="s">
        <v>43</v>
      </c>
      <c r="S186" s="30" t="s">
        <v>793</v>
      </c>
      <c r="T186" s="72" t="s">
        <v>33</v>
      </c>
      <c r="U186" s="72" t="s">
        <v>3276</v>
      </c>
      <c r="V186" s="72" t="s">
        <v>1371</v>
      </c>
      <c r="W186" s="30" t="s">
        <v>111</v>
      </c>
      <c r="X186" s="30" t="s">
        <v>835</v>
      </c>
      <c r="Y186" s="73" t="s">
        <v>1372</v>
      </c>
    </row>
    <row r="187" spans="1:25" x14ac:dyDescent="0.2">
      <c r="A187" s="74">
        <v>186</v>
      </c>
      <c r="B187" s="21" t="s">
        <v>1373</v>
      </c>
      <c r="C187" s="21" t="s">
        <v>1374</v>
      </c>
      <c r="D187" s="21" t="s">
        <v>356</v>
      </c>
      <c r="E187" s="21" t="s">
        <v>1375</v>
      </c>
      <c r="F187" s="21">
        <v>200</v>
      </c>
      <c r="G187" s="21">
        <v>300</v>
      </c>
      <c r="H187" s="21">
        <v>100</v>
      </c>
      <c r="I187" s="75">
        <v>45</v>
      </c>
      <c r="J187" s="21" t="s">
        <v>1376</v>
      </c>
      <c r="K187" s="21" t="s">
        <v>1377</v>
      </c>
      <c r="M187" s="76" t="b">
        <v>0</v>
      </c>
      <c r="N187" s="76" t="b">
        <v>0</v>
      </c>
      <c r="O187" s="21">
        <v>0</v>
      </c>
      <c r="P187" s="21" t="s">
        <v>855</v>
      </c>
      <c r="Q187" s="21" t="s">
        <v>1378</v>
      </c>
      <c r="R187" s="21" t="s">
        <v>72</v>
      </c>
      <c r="S187" s="21" t="s">
        <v>793</v>
      </c>
      <c r="T187" s="77" t="s">
        <v>33</v>
      </c>
      <c r="U187" s="77" t="s">
        <v>33</v>
      </c>
      <c r="V187" s="77" t="s">
        <v>1379</v>
      </c>
      <c r="W187" s="21" t="s">
        <v>35</v>
      </c>
      <c r="X187" s="21" t="s">
        <v>835</v>
      </c>
      <c r="Y187" s="78" t="s">
        <v>1380</v>
      </c>
    </row>
    <row r="188" spans="1:25" x14ac:dyDescent="0.2">
      <c r="A188" s="70">
        <v>187</v>
      </c>
      <c r="B188" s="30" t="s">
        <v>1381</v>
      </c>
      <c r="C188" s="30" t="s">
        <v>1382</v>
      </c>
      <c r="D188" s="30" t="s">
        <v>78</v>
      </c>
      <c r="E188" s="30" t="s">
        <v>1383</v>
      </c>
      <c r="F188" s="30">
        <v>175</v>
      </c>
      <c r="G188" s="30">
        <v>300</v>
      </c>
      <c r="H188" s="30">
        <v>4</v>
      </c>
      <c r="I188" s="71">
        <v>15</v>
      </c>
      <c r="J188" s="30" t="s">
        <v>1384</v>
      </c>
      <c r="K188" s="30" t="s">
        <v>1385</v>
      </c>
      <c r="M188" s="32" t="b">
        <v>0</v>
      </c>
      <c r="N188" s="32" t="b">
        <v>0</v>
      </c>
      <c r="O188" s="30">
        <v>0</v>
      </c>
      <c r="P188" s="30" t="s">
        <v>268</v>
      </c>
      <c r="Q188" s="30" t="s">
        <v>1386</v>
      </c>
      <c r="R188" s="30" t="s">
        <v>43</v>
      </c>
      <c r="S188" s="30" t="s">
        <v>793</v>
      </c>
      <c r="T188" s="72" t="s">
        <v>33</v>
      </c>
      <c r="U188" s="72" t="s">
        <v>3277</v>
      </c>
      <c r="V188" s="72" t="s">
        <v>1387</v>
      </c>
      <c r="W188" s="30" t="s">
        <v>11</v>
      </c>
      <c r="X188" s="30" t="s">
        <v>835</v>
      </c>
      <c r="Y188" s="73" t="s">
        <v>1388</v>
      </c>
    </row>
    <row r="189" spans="1:25" x14ac:dyDescent="0.2">
      <c r="A189" s="74">
        <v>188</v>
      </c>
      <c r="B189" s="21" t="s">
        <v>1389</v>
      </c>
      <c r="C189" s="21" t="s">
        <v>1390</v>
      </c>
      <c r="D189" s="21" t="s">
        <v>105</v>
      </c>
      <c r="E189" s="21" t="s">
        <v>1391</v>
      </c>
      <c r="F189" s="21">
        <v>200</v>
      </c>
      <c r="G189" s="21">
        <v>400</v>
      </c>
      <c r="H189" s="21">
        <v>150</v>
      </c>
      <c r="I189" s="75">
        <v>10</v>
      </c>
      <c r="J189" s="21" t="s">
        <v>1392</v>
      </c>
      <c r="K189" s="21" t="s">
        <v>1393</v>
      </c>
      <c r="M189" s="76" t="b">
        <v>0</v>
      </c>
      <c r="N189" s="76" t="b">
        <v>0</v>
      </c>
      <c r="O189" s="21">
        <v>0</v>
      </c>
      <c r="P189" s="21" t="s">
        <v>268</v>
      </c>
      <c r="Q189" s="21" t="s">
        <v>226</v>
      </c>
      <c r="R189" s="21" t="s">
        <v>43</v>
      </c>
      <c r="S189" s="21" t="s">
        <v>793</v>
      </c>
      <c r="T189" s="77" t="s">
        <v>33</v>
      </c>
      <c r="U189" s="77" t="s">
        <v>3272</v>
      </c>
      <c r="V189" s="77" t="s">
        <v>1394</v>
      </c>
      <c r="W189" s="21" t="s">
        <v>111</v>
      </c>
      <c r="X189" s="21" t="s">
        <v>835</v>
      </c>
      <c r="Y189" s="78" t="s">
        <v>1395</v>
      </c>
    </row>
    <row r="190" spans="1:25" x14ac:dyDescent="0.2">
      <c r="A190" s="70">
        <v>189</v>
      </c>
      <c r="B190" s="30" t="s">
        <v>1465</v>
      </c>
      <c r="C190" s="30" t="s">
        <v>1466</v>
      </c>
      <c r="D190" s="30" t="s">
        <v>49</v>
      </c>
      <c r="E190" s="30" t="s">
        <v>1467</v>
      </c>
      <c r="F190" s="30">
        <v>100</v>
      </c>
      <c r="G190" s="30">
        <v>300</v>
      </c>
      <c r="H190" s="30">
        <v>0</v>
      </c>
      <c r="I190" s="71">
        <v>7.5</v>
      </c>
      <c r="J190" s="30" t="s">
        <v>1468</v>
      </c>
      <c r="M190" s="32" t="b">
        <v>0</v>
      </c>
      <c r="N190" s="32" t="b">
        <v>0</v>
      </c>
      <c r="O190" s="30">
        <v>0</v>
      </c>
      <c r="P190" s="30" t="s">
        <v>30</v>
      </c>
      <c r="Q190" s="30" t="s">
        <v>226</v>
      </c>
      <c r="R190" s="30" t="s">
        <v>72</v>
      </c>
      <c r="S190" s="30" t="s">
        <v>1469</v>
      </c>
      <c r="T190" s="72" t="s">
        <v>33</v>
      </c>
      <c r="U190" s="72" t="s">
        <v>33</v>
      </c>
      <c r="V190" s="72" t="s">
        <v>1470</v>
      </c>
      <c r="W190" s="30" t="s">
        <v>360</v>
      </c>
      <c r="X190" s="30" t="s">
        <v>1471</v>
      </c>
      <c r="Y190" s="73" t="s">
        <v>1472</v>
      </c>
    </row>
    <row r="191" spans="1:25" x14ac:dyDescent="0.2">
      <c r="A191" s="74">
        <v>190</v>
      </c>
      <c r="B191" s="21" t="s">
        <v>1473</v>
      </c>
      <c r="C191" s="21" t="s">
        <v>1474</v>
      </c>
      <c r="D191" s="21" t="s">
        <v>356</v>
      </c>
      <c r="E191" s="21" t="s">
        <v>1475</v>
      </c>
      <c r="F191" s="21">
        <v>50</v>
      </c>
      <c r="G191" s="21">
        <v>300</v>
      </c>
      <c r="H191" s="21">
        <v>0</v>
      </c>
      <c r="I191" s="75">
        <v>30</v>
      </c>
      <c r="J191" s="21" t="s">
        <v>1468</v>
      </c>
      <c r="M191" s="76" t="b">
        <v>0</v>
      </c>
      <c r="N191" s="76" t="b">
        <v>0</v>
      </c>
      <c r="O191" s="21">
        <v>0</v>
      </c>
      <c r="P191" s="21" t="s">
        <v>122</v>
      </c>
      <c r="Q191" s="21" t="s">
        <v>226</v>
      </c>
      <c r="R191" s="21" t="s">
        <v>43</v>
      </c>
      <c r="S191" s="21" t="s">
        <v>1469</v>
      </c>
      <c r="T191" s="77" t="s">
        <v>33</v>
      </c>
      <c r="U191" s="77" t="s">
        <v>33</v>
      </c>
      <c r="V191" s="77" t="s">
        <v>1470</v>
      </c>
      <c r="W191" s="21" t="s">
        <v>11</v>
      </c>
      <c r="X191" s="21" t="s">
        <v>1476</v>
      </c>
      <c r="Y191" s="78" t="s">
        <v>1477</v>
      </c>
    </row>
    <row r="192" spans="1:25" x14ac:dyDescent="0.2">
      <c r="A192" s="70">
        <v>191</v>
      </c>
      <c r="B192" s="30" t="s">
        <v>1478</v>
      </c>
      <c r="C192" s="30" t="s">
        <v>1479</v>
      </c>
      <c r="D192" s="30" t="s">
        <v>95</v>
      </c>
      <c r="E192" s="30" t="s">
        <v>1480</v>
      </c>
      <c r="F192" s="30">
        <v>50</v>
      </c>
      <c r="G192" s="30">
        <v>300</v>
      </c>
      <c r="H192" s="30">
        <v>0</v>
      </c>
      <c r="I192" s="71">
        <v>50</v>
      </c>
      <c r="J192" s="30" t="s">
        <v>1468</v>
      </c>
      <c r="K192" s="30" t="s">
        <v>1481</v>
      </c>
      <c r="M192" s="32" t="b">
        <v>0</v>
      </c>
      <c r="N192" s="32" t="b">
        <v>0</v>
      </c>
      <c r="O192" s="30">
        <v>0</v>
      </c>
      <c r="P192" s="30" t="s">
        <v>268</v>
      </c>
      <c r="Q192" s="30" t="s">
        <v>226</v>
      </c>
      <c r="R192" s="30" t="s">
        <v>72</v>
      </c>
      <c r="S192" s="30" t="s">
        <v>1469</v>
      </c>
      <c r="T192" s="72" t="s">
        <v>33</v>
      </c>
      <c r="U192" s="72" t="s">
        <v>33</v>
      </c>
      <c r="V192" s="72" t="s">
        <v>1470</v>
      </c>
      <c r="W192" s="30" t="s">
        <v>11</v>
      </c>
      <c r="X192" s="30" t="s">
        <v>1482</v>
      </c>
      <c r="Y192" s="73" t="s">
        <v>1483</v>
      </c>
    </row>
    <row r="193" spans="1:25" x14ac:dyDescent="0.2">
      <c r="A193" s="74">
        <v>192</v>
      </c>
      <c r="B193" s="21" t="s">
        <v>1484</v>
      </c>
      <c r="C193" s="21" t="s">
        <v>1485</v>
      </c>
      <c r="D193" s="21" t="s">
        <v>27</v>
      </c>
      <c r="E193" s="21" t="s">
        <v>1486</v>
      </c>
      <c r="F193" s="21">
        <v>125</v>
      </c>
      <c r="G193" s="21">
        <v>300</v>
      </c>
      <c r="H193" s="21">
        <v>30</v>
      </c>
      <c r="I193" s="75">
        <v>10</v>
      </c>
      <c r="J193" s="21" t="s">
        <v>1468</v>
      </c>
      <c r="M193" s="76" t="b">
        <v>0</v>
      </c>
      <c r="N193" s="76" t="b">
        <v>0</v>
      </c>
      <c r="O193" s="21">
        <v>0</v>
      </c>
      <c r="P193" s="21" t="s">
        <v>30</v>
      </c>
      <c r="R193" s="21" t="s">
        <v>270</v>
      </c>
      <c r="S193" s="21" t="s">
        <v>1487</v>
      </c>
      <c r="T193" s="77" t="s">
        <v>33</v>
      </c>
      <c r="U193" s="77" t="s">
        <v>33</v>
      </c>
      <c r="V193" s="77" t="s">
        <v>1470</v>
      </c>
      <c r="W193" s="21" t="s">
        <v>35</v>
      </c>
      <c r="X193" s="21" t="s">
        <v>1488</v>
      </c>
      <c r="Y193" s="78" t="s">
        <v>1489</v>
      </c>
    </row>
    <row r="194" spans="1:25" x14ac:dyDescent="0.2">
      <c r="A194" s="70">
        <v>193</v>
      </c>
      <c r="B194" s="30" t="s">
        <v>1490</v>
      </c>
      <c r="C194" s="30" t="s">
        <v>1491</v>
      </c>
      <c r="D194" s="30" t="s">
        <v>49</v>
      </c>
      <c r="E194" s="30" t="s">
        <v>1492</v>
      </c>
      <c r="F194" s="30">
        <v>50</v>
      </c>
      <c r="G194" s="30">
        <v>1000</v>
      </c>
      <c r="H194" s="30">
        <v>0</v>
      </c>
      <c r="I194" s="71">
        <v>20</v>
      </c>
      <c r="J194" s="30" t="s">
        <v>1468</v>
      </c>
      <c r="M194" s="32" t="b">
        <v>0</v>
      </c>
      <c r="N194" s="32" t="b">
        <v>0</v>
      </c>
      <c r="O194" s="30">
        <v>0</v>
      </c>
      <c r="P194" s="30" t="s">
        <v>30</v>
      </c>
      <c r="R194" s="30" t="s">
        <v>270</v>
      </c>
      <c r="S194" s="30" t="s">
        <v>1487</v>
      </c>
      <c r="T194" s="72" t="s">
        <v>33</v>
      </c>
      <c r="U194" s="72" t="s">
        <v>33</v>
      </c>
      <c r="V194" s="72" t="s">
        <v>1470</v>
      </c>
      <c r="W194" s="30" t="s">
        <v>54</v>
      </c>
      <c r="X194" s="30" t="s">
        <v>1488</v>
      </c>
      <c r="Y194" s="73" t="s">
        <v>1493</v>
      </c>
    </row>
    <row r="195" spans="1:25" x14ac:dyDescent="0.2">
      <c r="A195" s="74">
        <v>194</v>
      </c>
      <c r="B195" s="21" t="s">
        <v>1494</v>
      </c>
      <c r="C195" s="21" t="s">
        <v>1495</v>
      </c>
      <c r="D195" s="21" t="s">
        <v>105</v>
      </c>
      <c r="E195" s="21" t="s">
        <v>1496</v>
      </c>
      <c r="F195" s="21">
        <v>100</v>
      </c>
      <c r="G195" s="21">
        <v>300</v>
      </c>
      <c r="H195" s="21">
        <v>40</v>
      </c>
      <c r="I195" s="75">
        <v>40</v>
      </c>
      <c r="J195" s="21" t="s">
        <v>1468</v>
      </c>
      <c r="M195" s="76" t="b">
        <v>0</v>
      </c>
      <c r="N195" s="76" t="b">
        <v>0</v>
      </c>
      <c r="O195" s="21">
        <v>0</v>
      </c>
      <c r="P195" s="21" t="s">
        <v>30</v>
      </c>
      <c r="R195" s="21" t="s">
        <v>270</v>
      </c>
      <c r="S195" s="21" t="s">
        <v>1487</v>
      </c>
      <c r="T195" s="77" t="s">
        <v>33</v>
      </c>
      <c r="U195" s="77" t="s">
        <v>33</v>
      </c>
      <c r="V195" s="77" t="s">
        <v>1470</v>
      </c>
      <c r="W195" s="21" t="s">
        <v>111</v>
      </c>
      <c r="X195" s="21" t="s">
        <v>1488</v>
      </c>
      <c r="Y195" s="78" t="s">
        <v>1497</v>
      </c>
    </row>
    <row r="196" spans="1:25" x14ac:dyDescent="0.2">
      <c r="A196" s="70">
        <v>195</v>
      </c>
      <c r="B196" s="30" t="s">
        <v>1498</v>
      </c>
      <c r="C196" s="30" t="s">
        <v>1499</v>
      </c>
      <c r="D196" s="30" t="s">
        <v>95</v>
      </c>
      <c r="E196" s="30" t="s">
        <v>1500</v>
      </c>
      <c r="F196" s="30">
        <v>100</v>
      </c>
      <c r="G196" s="30">
        <v>300</v>
      </c>
      <c r="H196" s="30">
        <v>0</v>
      </c>
      <c r="I196" s="71">
        <v>40</v>
      </c>
      <c r="J196" s="30" t="s">
        <v>1468</v>
      </c>
      <c r="M196" s="32" t="b">
        <v>0</v>
      </c>
      <c r="N196" s="32" t="b">
        <v>0</v>
      </c>
      <c r="O196" s="30">
        <v>0</v>
      </c>
      <c r="P196" s="30" t="s">
        <v>122</v>
      </c>
      <c r="R196" s="30" t="s">
        <v>72</v>
      </c>
      <c r="S196" s="30" t="s">
        <v>1487</v>
      </c>
      <c r="T196" s="72" t="s">
        <v>33</v>
      </c>
      <c r="U196" s="72" t="s">
        <v>33</v>
      </c>
      <c r="V196" s="72" t="s">
        <v>1470</v>
      </c>
      <c r="W196" s="30" t="s">
        <v>11</v>
      </c>
      <c r="X196" s="30" t="s">
        <v>1488</v>
      </c>
      <c r="Y196" s="73" t="s">
        <v>1501</v>
      </c>
    </row>
    <row r="197" spans="1:25" x14ac:dyDescent="0.2">
      <c r="A197" s="74">
        <v>196</v>
      </c>
      <c r="B197" s="21" t="s">
        <v>1502</v>
      </c>
      <c r="C197" s="21" t="s">
        <v>1503</v>
      </c>
      <c r="D197" s="21" t="s">
        <v>135</v>
      </c>
      <c r="E197" s="21" t="s">
        <v>1504</v>
      </c>
      <c r="F197" s="21">
        <v>125</v>
      </c>
      <c r="G197" s="21">
        <v>300</v>
      </c>
      <c r="H197" s="21">
        <v>40</v>
      </c>
      <c r="I197" s="75">
        <v>60</v>
      </c>
      <c r="J197" s="21" t="s">
        <v>1468</v>
      </c>
      <c r="M197" s="76" t="b">
        <v>0</v>
      </c>
      <c r="N197" s="76" t="b">
        <v>0</v>
      </c>
      <c r="O197" s="21">
        <v>0</v>
      </c>
      <c r="P197" s="21" t="s">
        <v>122</v>
      </c>
      <c r="R197" s="21" t="s">
        <v>31</v>
      </c>
      <c r="S197" s="21" t="s">
        <v>1487</v>
      </c>
      <c r="T197" s="77" t="s">
        <v>33</v>
      </c>
      <c r="U197" s="77" t="s">
        <v>33</v>
      </c>
      <c r="V197" s="77" t="s">
        <v>1470</v>
      </c>
      <c r="W197" s="21" t="s">
        <v>35</v>
      </c>
      <c r="X197" s="21" t="s">
        <v>1488</v>
      </c>
      <c r="Y197" s="78" t="s">
        <v>1505</v>
      </c>
    </row>
    <row r="198" spans="1:25" x14ac:dyDescent="0.2">
      <c r="A198" s="70">
        <v>197</v>
      </c>
      <c r="B198" s="30" t="s">
        <v>1506</v>
      </c>
      <c r="C198" s="30" t="s">
        <v>1507</v>
      </c>
      <c r="D198" s="30" t="s">
        <v>27</v>
      </c>
      <c r="E198" s="30" t="s">
        <v>1508</v>
      </c>
      <c r="F198" s="30">
        <v>125</v>
      </c>
      <c r="G198" s="30">
        <v>300</v>
      </c>
      <c r="H198" s="30">
        <v>60</v>
      </c>
      <c r="I198" s="71">
        <v>40</v>
      </c>
      <c r="J198" s="30" t="s">
        <v>1468</v>
      </c>
      <c r="M198" s="32" t="b">
        <v>0</v>
      </c>
      <c r="N198" s="32" t="b">
        <v>0</v>
      </c>
      <c r="O198" s="30">
        <v>0</v>
      </c>
      <c r="P198" s="30" t="s">
        <v>180</v>
      </c>
      <c r="R198" s="30" t="s">
        <v>72</v>
      </c>
      <c r="S198" s="30" t="s">
        <v>1487</v>
      </c>
      <c r="T198" s="72" t="s">
        <v>33</v>
      </c>
      <c r="U198" s="72" t="s">
        <v>33</v>
      </c>
      <c r="V198" s="72" t="s">
        <v>1470</v>
      </c>
      <c r="W198" s="30" t="s">
        <v>35</v>
      </c>
      <c r="X198" s="30" t="s">
        <v>1488</v>
      </c>
      <c r="Y198" s="73" t="s">
        <v>1509</v>
      </c>
    </row>
    <row r="199" spans="1:25" x14ac:dyDescent="0.2">
      <c r="A199" s="74">
        <v>198</v>
      </c>
      <c r="B199" s="21" t="s">
        <v>1510</v>
      </c>
      <c r="C199" s="21" t="s">
        <v>1511</v>
      </c>
      <c r="D199" s="21" t="s">
        <v>68</v>
      </c>
      <c r="E199" s="21" t="s">
        <v>1512</v>
      </c>
      <c r="F199" s="21">
        <v>175</v>
      </c>
      <c r="G199" s="21">
        <v>300</v>
      </c>
      <c r="H199" s="21">
        <v>160</v>
      </c>
      <c r="I199" s="75">
        <v>120</v>
      </c>
      <c r="J199" s="21" t="s">
        <v>1468</v>
      </c>
      <c r="M199" s="76" t="b">
        <v>0</v>
      </c>
      <c r="N199" s="76" t="b">
        <v>0</v>
      </c>
      <c r="O199" s="21">
        <v>0</v>
      </c>
      <c r="P199" s="21" t="s">
        <v>268</v>
      </c>
      <c r="R199" s="21" t="s">
        <v>72</v>
      </c>
      <c r="S199" s="21" t="s">
        <v>1487</v>
      </c>
      <c r="T199" s="77" t="s">
        <v>33</v>
      </c>
      <c r="U199" s="77" t="s">
        <v>33</v>
      </c>
      <c r="V199" s="77" t="s">
        <v>1470</v>
      </c>
      <c r="W199" s="21" t="s">
        <v>35</v>
      </c>
      <c r="X199" s="21" t="s">
        <v>1513</v>
      </c>
      <c r="Y199" s="78" t="s">
        <v>1514</v>
      </c>
    </row>
    <row r="200" spans="1:25" x14ac:dyDescent="0.2">
      <c r="A200" s="70">
        <v>199</v>
      </c>
      <c r="B200" s="30" t="s">
        <v>1515</v>
      </c>
      <c r="C200" s="30" t="s">
        <v>1516</v>
      </c>
      <c r="D200" s="30" t="s">
        <v>356</v>
      </c>
      <c r="E200" s="30" t="s">
        <v>1517</v>
      </c>
      <c r="F200" s="30">
        <v>250</v>
      </c>
      <c r="G200" s="30">
        <v>300</v>
      </c>
      <c r="H200" s="30">
        <v>30</v>
      </c>
      <c r="I200" s="71">
        <v>10</v>
      </c>
      <c r="J200" s="30" t="s">
        <v>1468</v>
      </c>
      <c r="M200" s="32" t="b">
        <v>0</v>
      </c>
      <c r="N200" s="32" t="b">
        <v>0</v>
      </c>
      <c r="O200" s="30">
        <v>0</v>
      </c>
      <c r="P200" s="30" t="s">
        <v>666</v>
      </c>
      <c r="R200" s="30" t="s">
        <v>31</v>
      </c>
      <c r="S200" s="30" t="s">
        <v>1487</v>
      </c>
      <c r="T200" s="72" t="s">
        <v>33</v>
      </c>
      <c r="U200" s="72" t="s">
        <v>33</v>
      </c>
      <c r="V200" s="72" t="s">
        <v>1470</v>
      </c>
      <c r="W200" s="30" t="s">
        <v>35</v>
      </c>
      <c r="X200" s="30" t="s">
        <v>1518</v>
      </c>
      <c r="Y200" s="73" t="s">
        <v>1519</v>
      </c>
    </row>
    <row r="201" spans="1:25" x14ac:dyDescent="0.2">
      <c r="A201" s="74">
        <v>200</v>
      </c>
      <c r="B201" s="21" t="s">
        <v>1520</v>
      </c>
      <c r="C201" s="21" t="s">
        <v>1521</v>
      </c>
      <c r="D201" s="21" t="s">
        <v>78</v>
      </c>
      <c r="E201" s="21" t="s">
        <v>1522</v>
      </c>
      <c r="F201" s="21">
        <v>200</v>
      </c>
      <c r="G201" s="21">
        <v>300</v>
      </c>
      <c r="H201" s="21">
        <v>40</v>
      </c>
      <c r="I201" s="75">
        <v>40</v>
      </c>
      <c r="J201" s="21" t="s">
        <v>1468</v>
      </c>
      <c r="M201" s="76" t="b">
        <v>0</v>
      </c>
      <c r="N201" s="76" t="b">
        <v>0</v>
      </c>
      <c r="O201" s="21">
        <v>0</v>
      </c>
      <c r="P201" s="21" t="s">
        <v>666</v>
      </c>
      <c r="R201" s="21" t="s">
        <v>31</v>
      </c>
      <c r="S201" s="21" t="s">
        <v>1487</v>
      </c>
      <c r="T201" s="77" t="s">
        <v>33</v>
      </c>
      <c r="U201" s="77" t="s">
        <v>33</v>
      </c>
      <c r="V201" s="77" t="s">
        <v>1470</v>
      </c>
      <c r="W201" s="21" t="s">
        <v>35</v>
      </c>
      <c r="X201" s="21" t="s">
        <v>1488</v>
      </c>
      <c r="Y201" s="78" t="s">
        <v>1523</v>
      </c>
    </row>
    <row r="202" spans="1:25" x14ac:dyDescent="0.2">
      <c r="A202" s="70">
        <v>201</v>
      </c>
      <c r="B202" s="30" t="s">
        <v>1524</v>
      </c>
      <c r="C202" s="30" t="s">
        <v>1525</v>
      </c>
      <c r="D202" s="30" t="s">
        <v>27</v>
      </c>
      <c r="E202" s="30" t="s">
        <v>1526</v>
      </c>
      <c r="F202" s="30">
        <v>125</v>
      </c>
      <c r="G202" s="30">
        <v>300</v>
      </c>
      <c r="H202" s="30">
        <v>100</v>
      </c>
      <c r="I202" s="71">
        <v>5</v>
      </c>
      <c r="J202" s="30" t="s">
        <v>1468</v>
      </c>
      <c r="M202" s="32" t="b">
        <v>0</v>
      </c>
      <c r="N202" s="32" t="b">
        <v>0</v>
      </c>
      <c r="O202" s="30">
        <v>0</v>
      </c>
      <c r="P202" s="30" t="s">
        <v>30</v>
      </c>
      <c r="Q202" s="30" t="s">
        <v>226</v>
      </c>
      <c r="R202" s="30" t="s">
        <v>72</v>
      </c>
      <c r="S202" s="30" t="s">
        <v>1527</v>
      </c>
      <c r="T202" s="72" t="s">
        <v>33</v>
      </c>
      <c r="U202" s="72" t="s">
        <v>3274</v>
      </c>
      <c r="V202" s="72" t="s">
        <v>1470</v>
      </c>
      <c r="W202" s="30" t="s">
        <v>35</v>
      </c>
      <c r="X202" s="30" t="s">
        <v>1528</v>
      </c>
      <c r="Y202" s="73" t="s">
        <v>1529</v>
      </c>
    </row>
    <row r="203" spans="1:25" x14ac:dyDescent="0.2">
      <c r="A203" s="74">
        <v>202</v>
      </c>
      <c r="B203" s="21" t="s">
        <v>1530</v>
      </c>
      <c r="C203" s="21" t="s">
        <v>1531</v>
      </c>
      <c r="D203" s="21" t="s">
        <v>49</v>
      </c>
      <c r="E203" s="21" t="s">
        <v>1532</v>
      </c>
      <c r="F203" s="21">
        <v>50</v>
      </c>
      <c r="G203" s="21">
        <v>2500</v>
      </c>
      <c r="H203" s="21">
        <v>20</v>
      </c>
      <c r="I203" s="75">
        <v>10</v>
      </c>
      <c r="J203" s="21" t="s">
        <v>1468</v>
      </c>
      <c r="M203" s="76" t="b">
        <v>0</v>
      </c>
      <c r="N203" s="76" t="b">
        <v>0</v>
      </c>
      <c r="O203" s="21">
        <v>0</v>
      </c>
      <c r="P203" s="21" t="s">
        <v>122</v>
      </c>
      <c r="Q203" s="21" t="s">
        <v>226</v>
      </c>
      <c r="R203" s="21" t="s">
        <v>130</v>
      </c>
      <c r="S203" s="21" t="s">
        <v>1527</v>
      </c>
      <c r="T203" s="77" t="s">
        <v>33</v>
      </c>
      <c r="U203" s="77" t="s">
        <v>33</v>
      </c>
      <c r="V203" s="77" t="s">
        <v>1470</v>
      </c>
      <c r="W203" s="21" t="s">
        <v>54</v>
      </c>
      <c r="X203" s="21" t="s">
        <v>1528</v>
      </c>
      <c r="Y203" s="78" t="s">
        <v>1533</v>
      </c>
    </row>
    <row r="204" spans="1:25" x14ac:dyDescent="0.2">
      <c r="A204" s="70">
        <v>203</v>
      </c>
      <c r="B204" s="30" t="s">
        <v>1534</v>
      </c>
      <c r="C204" s="30" t="s">
        <v>1535</v>
      </c>
      <c r="D204" s="30" t="s">
        <v>105</v>
      </c>
      <c r="E204" s="30" t="s">
        <v>1536</v>
      </c>
      <c r="F204" s="30">
        <v>75</v>
      </c>
      <c r="G204" s="30">
        <v>300</v>
      </c>
      <c r="H204" s="30">
        <v>30</v>
      </c>
      <c r="I204" s="71">
        <v>5</v>
      </c>
      <c r="J204" s="30" t="s">
        <v>1468</v>
      </c>
      <c r="M204" s="32" t="b">
        <v>0</v>
      </c>
      <c r="N204" s="32" t="b">
        <v>0</v>
      </c>
      <c r="O204" s="30">
        <v>0</v>
      </c>
      <c r="P204" s="30" t="s">
        <v>180</v>
      </c>
      <c r="Q204" s="30" t="s">
        <v>226</v>
      </c>
      <c r="R204" s="30" t="s">
        <v>72</v>
      </c>
      <c r="S204" s="30" t="s">
        <v>1527</v>
      </c>
      <c r="T204" s="72" t="s">
        <v>33</v>
      </c>
      <c r="U204" s="72" t="s">
        <v>33</v>
      </c>
      <c r="V204" s="72" t="s">
        <v>1470</v>
      </c>
      <c r="W204" s="30" t="s">
        <v>111</v>
      </c>
      <c r="X204" s="30" t="s">
        <v>1528</v>
      </c>
      <c r="Y204" s="73" t="s">
        <v>1537</v>
      </c>
    </row>
    <row r="205" spans="1:25" x14ac:dyDescent="0.2">
      <c r="A205" s="74">
        <v>204</v>
      </c>
      <c r="B205" s="21" t="s">
        <v>1538</v>
      </c>
      <c r="C205" s="21" t="s">
        <v>1539</v>
      </c>
      <c r="D205" s="21" t="s">
        <v>49</v>
      </c>
      <c r="E205" s="21" t="s">
        <v>1540</v>
      </c>
      <c r="F205" s="21">
        <v>50</v>
      </c>
      <c r="G205" s="21">
        <v>2000</v>
      </c>
      <c r="H205" s="21">
        <v>0</v>
      </c>
      <c r="I205" s="75">
        <v>10</v>
      </c>
      <c r="J205" s="21" t="s">
        <v>1541</v>
      </c>
      <c r="M205" s="76" t="b">
        <v>0</v>
      </c>
      <c r="N205" s="76" t="b">
        <v>0</v>
      </c>
      <c r="O205" s="21">
        <v>0</v>
      </c>
      <c r="P205" s="21" t="s">
        <v>30</v>
      </c>
      <c r="R205" s="21" t="s">
        <v>62</v>
      </c>
      <c r="S205" s="21" t="s">
        <v>1542</v>
      </c>
      <c r="T205" s="77" t="s">
        <v>33</v>
      </c>
      <c r="U205" s="77" t="s">
        <v>33</v>
      </c>
      <c r="V205" s="77" t="s">
        <v>1543</v>
      </c>
      <c r="W205" s="21" t="s">
        <v>54</v>
      </c>
      <c r="X205" s="21" t="s">
        <v>1544</v>
      </c>
      <c r="Y205" s="78" t="s">
        <v>1545</v>
      </c>
    </row>
    <row r="206" spans="1:25" x14ac:dyDescent="0.2">
      <c r="A206" s="70">
        <v>205</v>
      </c>
      <c r="B206" s="30" t="s">
        <v>1546</v>
      </c>
      <c r="C206" s="30" t="s">
        <v>1547</v>
      </c>
      <c r="D206" s="30" t="s">
        <v>135</v>
      </c>
      <c r="E206" s="30" t="s">
        <v>1548</v>
      </c>
      <c r="F206" s="30">
        <v>200</v>
      </c>
      <c r="G206" s="30">
        <v>300</v>
      </c>
      <c r="H206" s="30">
        <v>315</v>
      </c>
      <c r="I206" s="71">
        <v>5</v>
      </c>
      <c r="J206" s="30" t="s">
        <v>1549</v>
      </c>
      <c r="L206" s="30" t="s">
        <v>1550</v>
      </c>
      <c r="M206" s="32" t="b">
        <v>0</v>
      </c>
      <c r="N206" s="32" t="b">
        <v>0</v>
      </c>
      <c r="O206" s="30">
        <v>0</v>
      </c>
      <c r="P206" s="30" t="s">
        <v>30</v>
      </c>
      <c r="Q206" s="30" t="s">
        <v>1551</v>
      </c>
      <c r="R206" s="30" t="s">
        <v>130</v>
      </c>
      <c r="S206" s="30" t="s">
        <v>1542</v>
      </c>
      <c r="T206" s="72" t="s">
        <v>33</v>
      </c>
      <c r="U206" s="72" t="s">
        <v>33</v>
      </c>
      <c r="V206" s="72" t="s">
        <v>1552</v>
      </c>
      <c r="W206" s="30" t="s">
        <v>111</v>
      </c>
      <c r="X206" s="30" t="s">
        <v>1544</v>
      </c>
      <c r="Y206" s="73" t="s">
        <v>1553</v>
      </c>
    </row>
    <row r="207" spans="1:25" x14ac:dyDescent="0.2">
      <c r="A207" s="74">
        <v>206</v>
      </c>
      <c r="B207" s="21" t="s">
        <v>1554</v>
      </c>
      <c r="C207" s="21" t="s">
        <v>1555</v>
      </c>
      <c r="D207" s="21" t="s">
        <v>49</v>
      </c>
      <c r="E207" s="21" t="s">
        <v>1556</v>
      </c>
      <c r="F207" s="21">
        <v>125</v>
      </c>
      <c r="G207" s="21">
        <v>300</v>
      </c>
      <c r="H207" s="21">
        <v>0</v>
      </c>
      <c r="I207" s="75">
        <v>5</v>
      </c>
      <c r="J207" s="21" t="s">
        <v>1557</v>
      </c>
      <c r="K207" s="21" t="s">
        <v>1558</v>
      </c>
      <c r="M207" s="76" t="b">
        <v>0</v>
      </c>
      <c r="N207" s="76" t="b">
        <v>0</v>
      </c>
      <c r="O207" s="21">
        <v>0</v>
      </c>
      <c r="P207" s="21" t="s">
        <v>30</v>
      </c>
      <c r="Q207" s="21" t="s">
        <v>1178</v>
      </c>
      <c r="R207" s="21" t="s">
        <v>130</v>
      </c>
      <c r="S207" s="21" t="s">
        <v>1542</v>
      </c>
      <c r="T207" s="77" t="s">
        <v>33</v>
      </c>
      <c r="U207" s="77" t="s">
        <v>33</v>
      </c>
      <c r="V207" s="77" t="s">
        <v>1559</v>
      </c>
      <c r="W207" s="21" t="s">
        <v>360</v>
      </c>
      <c r="X207" s="21" t="s">
        <v>1544</v>
      </c>
      <c r="Y207" s="78" t="s">
        <v>1560</v>
      </c>
    </row>
    <row r="208" spans="1:25" x14ac:dyDescent="0.2">
      <c r="A208" s="70">
        <v>207</v>
      </c>
      <c r="B208" s="30" t="s">
        <v>1561</v>
      </c>
      <c r="C208" s="30" t="s">
        <v>1511</v>
      </c>
      <c r="D208" s="30" t="s">
        <v>105</v>
      </c>
      <c r="E208" s="30" t="s">
        <v>1562</v>
      </c>
      <c r="F208" s="30">
        <v>175</v>
      </c>
      <c r="G208" s="30">
        <v>300</v>
      </c>
      <c r="H208" s="30">
        <v>15</v>
      </c>
      <c r="I208" s="71">
        <v>5</v>
      </c>
      <c r="J208" s="30" t="s">
        <v>1563</v>
      </c>
      <c r="M208" s="32" t="b">
        <v>0</v>
      </c>
      <c r="N208" s="32" t="b">
        <v>0</v>
      </c>
      <c r="O208" s="30">
        <v>0</v>
      </c>
      <c r="P208" s="30" t="s">
        <v>30</v>
      </c>
      <c r="Q208" s="30" t="s">
        <v>226</v>
      </c>
      <c r="R208" s="30" t="s">
        <v>72</v>
      </c>
      <c r="S208" s="30" t="s">
        <v>1542</v>
      </c>
      <c r="T208" s="72" t="s">
        <v>33</v>
      </c>
      <c r="U208" s="72" t="s">
        <v>33</v>
      </c>
      <c r="V208" s="72" t="s">
        <v>1564</v>
      </c>
      <c r="W208" s="30" t="s">
        <v>111</v>
      </c>
      <c r="X208" s="30" t="s">
        <v>1544</v>
      </c>
      <c r="Y208" s="73" t="s">
        <v>1565</v>
      </c>
    </row>
    <row r="209" spans="1:25" x14ac:dyDescent="0.2">
      <c r="A209" s="74">
        <v>208</v>
      </c>
      <c r="B209" s="21" t="s">
        <v>1566</v>
      </c>
      <c r="C209" s="21" t="s">
        <v>1567</v>
      </c>
      <c r="D209" s="21" t="s">
        <v>78</v>
      </c>
      <c r="E209" s="21" t="s">
        <v>1568</v>
      </c>
      <c r="F209" s="21">
        <v>275</v>
      </c>
      <c r="G209" s="21">
        <v>300</v>
      </c>
      <c r="H209" s="21">
        <v>130</v>
      </c>
      <c r="I209" s="75">
        <v>7.5</v>
      </c>
      <c r="J209" s="21" t="s">
        <v>1569</v>
      </c>
      <c r="M209" s="76" t="b">
        <v>0</v>
      </c>
      <c r="N209" s="76" t="b">
        <v>0</v>
      </c>
      <c r="O209" s="21">
        <v>0</v>
      </c>
      <c r="P209" s="21" t="s">
        <v>180</v>
      </c>
      <c r="R209" s="21" t="s">
        <v>740</v>
      </c>
      <c r="S209" s="21" t="s">
        <v>1542</v>
      </c>
      <c r="T209" s="77" t="s">
        <v>33</v>
      </c>
      <c r="U209" s="77" t="s">
        <v>33</v>
      </c>
      <c r="V209" s="77" t="s">
        <v>1470</v>
      </c>
      <c r="W209" s="21" t="s">
        <v>35</v>
      </c>
      <c r="X209" s="21" t="s">
        <v>1544</v>
      </c>
      <c r="Y209" s="78" t="s">
        <v>1570</v>
      </c>
    </row>
    <row r="210" spans="1:25" x14ac:dyDescent="0.2">
      <c r="A210" s="70">
        <v>209</v>
      </c>
      <c r="B210" s="30" t="s">
        <v>1571</v>
      </c>
      <c r="C210" s="30" t="s">
        <v>1572</v>
      </c>
      <c r="D210" s="30" t="s">
        <v>356</v>
      </c>
      <c r="E210" s="30" t="s">
        <v>1573</v>
      </c>
      <c r="F210" s="30">
        <v>75</v>
      </c>
      <c r="G210" s="30">
        <v>300</v>
      </c>
      <c r="H210" s="30">
        <v>0</v>
      </c>
      <c r="I210" s="71">
        <v>10</v>
      </c>
      <c r="J210" s="30" t="s">
        <v>1468</v>
      </c>
      <c r="K210" s="30" t="s">
        <v>1558</v>
      </c>
      <c r="M210" s="32" t="b">
        <v>1</v>
      </c>
      <c r="N210" s="32" t="b">
        <v>1</v>
      </c>
      <c r="O210" s="30">
        <v>0</v>
      </c>
      <c r="P210" s="30" t="s">
        <v>30</v>
      </c>
      <c r="Q210" s="30" t="s">
        <v>226</v>
      </c>
      <c r="R210" s="30" t="s">
        <v>158</v>
      </c>
      <c r="S210" s="30" t="s">
        <v>1542</v>
      </c>
      <c r="T210" s="72" t="s">
        <v>33</v>
      </c>
      <c r="U210" s="72" t="s">
        <v>33</v>
      </c>
      <c r="V210" s="72" t="s">
        <v>1470</v>
      </c>
      <c r="W210" s="30" t="s">
        <v>360</v>
      </c>
      <c r="X210" s="30" t="s">
        <v>1574</v>
      </c>
      <c r="Y210" s="73" t="s">
        <v>1575</v>
      </c>
    </row>
    <row r="211" spans="1:25" x14ac:dyDescent="0.2">
      <c r="A211" s="74">
        <v>210</v>
      </c>
      <c r="B211" s="21" t="s">
        <v>1576</v>
      </c>
      <c r="C211" s="21" t="s">
        <v>1577</v>
      </c>
      <c r="D211" s="21" t="s">
        <v>356</v>
      </c>
      <c r="E211" s="21" t="s">
        <v>1578</v>
      </c>
      <c r="F211" s="21">
        <v>25</v>
      </c>
      <c r="G211" s="21">
        <v>300</v>
      </c>
      <c r="H211" s="21">
        <v>0</v>
      </c>
      <c r="I211" s="75">
        <v>20</v>
      </c>
      <c r="J211" s="21" t="s">
        <v>1579</v>
      </c>
      <c r="M211" s="76" t="b">
        <v>0</v>
      </c>
      <c r="N211" s="76" t="b">
        <v>0</v>
      </c>
      <c r="O211" s="21">
        <v>0</v>
      </c>
      <c r="P211" s="21" t="s">
        <v>30</v>
      </c>
      <c r="Q211" s="21" t="s">
        <v>226</v>
      </c>
      <c r="R211" s="21" t="s">
        <v>740</v>
      </c>
      <c r="S211" s="21" t="s">
        <v>1542</v>
      </c>
      <c r="T211" s="77" t="s">
        <v>33</v>
      </c>
      <c r="U211" s="77" t="s">
        <v>33</v>
      </c>
      <c r="V211" s="77" t="s">
        <v>1470</v>
      </c>
      <c r="W211" s="21" t="s">
        <v>11</v>
      </c>
      <c r="X211" s="21" t="s">
        <v>1580</v>
      </c>
      <c r="Y211" s="78" t="s">
        <v>1581</v>
      </c>
    </row>
    <row r="212" spans="1:25" x14ac:dyDescent="0.2">
      <c r="A212" s="70">
        <v>211</v>
      </c>
      <c r="B212" s="30" t="s">
        <v>1582</v>
      </c>
      <c r="C212" s="30" t="s">
        <v>1583</v>
      </c>
      <c r="D212" s="30" t="s">
        <v>199</v>
      </c>
      <c r="E212" s="30" t="s">
        <v>1584</v>
      </c>
      <c r="F212" s="30">
        <v>125</v>
      </c>
      <c r="G212" s="30">
        <v>300</v>
      </c>
      <c r="H212" s="30">
        <v>50</v>
      </c>
      <c r="I212" s="71">
        <v>5</v>
      </c>
      <c r="J212" s="30" t="s">
        <v>1585</v>
      </c>
      <c r="M212" s="32" t="b">
        <v>0</v>
      </c>
      <c r="N212" s="32" t="b">
        <v>0</v>
      </c>
      <c r="O212" s="30">
        <v>0</v>
      </c>
      <c r="P212" s="30" t="s">
        <v>666</v>
      </c>
      <c r="R212" s="30" t="s">
        <v>130</v>
      </c>
      <c r="S212" s="30" t="s">
        <v>1542</v>
      </c>
      <c r="T212" s="72" t="s">
        <v>33</v>
      </c>
      <c r="U212" s="72" t="s">
        <v>33</v>
      </c>
      <c r="V212" s="72" t="s">
        <v>1586</v>
      </c>
      <c r="W212" s="30" t="s">
        <v>35</v>
      </c>
      <c r="X212" s="30" t="s">
        <v>1544</v>
      </c>
      <c r="Y212" s="73" t="s">
        <v>1587</v>
      </c>
    </row>
    <row r="213" spans="1:25" x14ac:dyDescent="0.2">
      <c r="A213" s="74">
        <v>212</v>
      </c>
      <c r="B213" s="21" t="s">
        <v>1588</v>
      </c>
      <c r="C213" s="21" t="s">
        <v>1589</v>
      </c>
      <c r="D213" s="21" t="s">
        <v>68</v>
      </c>
      <c r="E213" s="21" t="s">
        <v>1590</v>
      </c>
      <c r="F213" s="21">
        <v>200</v>
      </c>
      <c r="G213" s="21">
        <v>300</v>
      </c>
      <c r="H213" s="21">
        <v>120</v>
      </c>
      <c r="I213" s="75">
        <v>5</v>
      </c>
      <c r="J213" s="21" t="s">
        <v>1591</v>
      </c>
      <c r="M213" s="76" t="b">
        <v>0</v>
      </c>
      <c r="N213" s="76" t="b">
        <v>0</v>
      </c>
      <c r="O213" s="21">
        <v>0</v>
      </c>
      <c r="P213" s="21" t="s">
        <v>180</v>
      </c>
      <c r="Q213" s="21" t="s">
        <v>476</v>
      </c>
      <c r="R213" s="21" t="s">
        <v>72</v>
      </c>
      <c r="S213" s="21" t="s">
        <v>1542</v>
      </c>
      <c r="T213" s="77" t="s">
        <v>33</v>
      </c>
      <c r="U213" s="77" t="s">
        <v>33</v>
      </c>
      <c r="V213" s="77" t="s">
        <v>1592</v>
      </c>
      <c r="W213" s="21" t="s">
        <v>35</v>
      </c>
      <c r="X213" s="21" t="s">
        <v>1544</v>
      </c>
      <c r="Y213" s="78" t="s">
        <v>1593</v>
      </c>
    </row>
    <row r="214" spans="1:25" x14ac:dyDescent="0.2">
      <c r="A214" s="70">
        <v>213</v>
      </c>
      <c r="B214" s="30" t="s">
        <v>1594</v>
      </c>
      <c r="C214" s="30" t="s">
        <v>1595</v>
      </c>
      <c r="D214" s="30" t="s">
        <v>59</v>
      </c>
      <c r="E214" s="30" t="s">
        <v>1596</v>
      </c>
      <c r="F214" s="30">
        <v>350</v>
      </c>
      <c r="G214" s="30">
        <v>300</v>
      </c>
      <c r="H214" s="30">
        <v>150</v>
      </c>
      <c r="I214" s="71">
        <v>7.5</v>
      </c>
      <c r="J214" s="30" t="s">
        <v>1597</v>
      </c>
      <c r="L214" s="30" t="s">
        <v>1598</v>
      </c>
      <c r="M214" s="32" t="b">
        <v>0</v>
      </c>
      <c r="N214" s="32" t="b">
        <v>0</v>
      </c>
      <c r="O214" s="30">
        <v>0</v>
      </c>
      <c r="P214" s="30" t="s">
        <v>122</v>
      </c>
      <c r="Q214" s="30" t="s">
        <v>226</v>
      </c>
      <c r="R214" s="30" t="s">
        <v>43</v>
      </c>
      <c r="S214" s="30" t="s">
        <v>1542</v>
      </c>
      <c r="T214" s="72" t="s">
        <v>33</v>
      </c>
      <c r="U214" s="72" t="s">
        <v>33</v>
      </c>
      <c r="V214" s="72" t="s">
        <v>1599</v>
      </c>
      <c r="W214" s="30" t="s">
        <v>35</v>
      </c>
      <c r="X214" s="30" t="s">
        <v>1544</v>
      </c>
      <c r="Y214" s="73" t="s">
        <v>1600</v>
      </c>
    </row>
    <row r="215" spans="1:25" x14ac:dyDescent="0.2">
      <c r="A215" s="74">
        <v>214</v>
      </c>
      <c r="B215" s="21" t="s">
        <v>1601</v>
      </c>
      <c r="C215" s="21" t="s">
        <v>1602</v>
      </c>
      <c r="D215" s="21" t="s">
        <v>27</v>
      </c>
      <c r="E215" s="21" t="s">
        <v>1603</v>
      </c>
      <c r="F215" s="21">
        <v>300</v>
      </c>
      <c r="G215" s="21">
        <v>300</v>
      </c>
      <c r="H215" s="21">
        <v>70</v>
      </c>
      <c r="I215" s="75">
        <v>7.5</v>
      </c>
      <c r="J215" s="21" t="s">
        <v>1604</v>
      </c>
      <c r="M215" s="76" t="b">
        <v>0</v>
      </c>
      <c r="N215" s="76" t="b">
        <v>0</v>
      </c>
      <c r="O215" s="21">
        <v>0</v>
      </c>
      <c r="P215" s="21" t="s">
        <v>122</v>
      </c>
      <c r="Q215" s="21" t="s">
        <v>1605</v>
      </c>
      <c r="R215" s="21" t="s">
        <v>52</v>
      </c>
      <c r="S215" s="21" t="s">
        <v>1542</v>
      </c>
      <c r="T215" s="77" t="s">
        <v>33</v>
      </c>
      <c r="U215" s="77" t="s">
        <v>33</v>
      </c>
      <c r="V215" s="77" t="s">
        <v>1606</v>
      </c>
      <c r="W215" s="21" t="s">
        <v>35</v>
      </c>
      <c r="X215" s="21" t="s">
        <v>1544</v>
      </c>
      <c r="Y215" s="78" t="s">
        <v>1607</v>
      </c>
    </row>
    <row r="216" spans="1:25" x14ac:dyDescent="0.2">
      <c r="A216" s="70">
        <v>215</v>
      </c>
      <c r="B216" s="30" t="s">
        <v>1608</v>
      </c>
      <c r="C216" s="30" t="s">
        <v>1609</v>
      </c>
      <c r="D216" s="30" t="s">
        <v>95</v>
      </c>
      <c r="E216" s="30" t="s">
        <v>1610</v>
      </c>
      <c r="F216" s="30">
        <v>75</v>
      </c>
      <c r="G216" s="30">
        <v>1</v>
      </c>
      <c r="H216" s="30">
        <v>0</v>
      </c>
      <c r="I216" s="71">
        <v>30</v>
      </c>
      <c r="J216" s="30" t="s">
        <v>1468</v>
      </c>
      <c r="L216" s="30" t="s">
        <v>1611</v>
      </c>
      <c r="M216" s="32" t="b">
        <v>1</v>
      </c>
      <c r="N216" s="32" t="b">
        <v>1</v>
      </c>
      <c r="O216" s="30">
        <v>0</v>
      </c>
      <c r="P216" s="30" t="s">
        <v>122</v>
      </c>
      <c r="Q216" s="30" t="s">
        <v>1612</v>
      </c>
      <c r="R216" s="30" t="s">
        <v>130</v>
      </c>
      <c r="S216" s="30" t="s">
        <v>1542</v>
      </c>
      <c r="T216" s="72" t="s">
        <v>33</v>
      </c>
      <c r="U216" s="72" t="s">
        <v>33</v>
      </c>
      <c r="V216" s="72" t="s">
        <v>1613</v>
      </c>
      <c r="W216" s="30" t="s">
        <v>11</v>
      </c>
      <c r="X216" s="30" t="s">
        <v>1544</v>
      </c>
      <c r="Y216" s="73" t="s">
        <v>1614</v>
      </c>
    </row>
    <row r="217" spans="1:25" x14ac:dyDescent="0.2">
      <c r="A217" s="74">
        <v>216</v>
      </c>
      <c r="B217" s="21" t="s">
        <v>1615</v>
      </c>
      <c r="C217" s="21" t="s">
        <v>1485</v>
      </c>
      <c r="D217" s="21" t="s">
        <v>27</v>
      </c>
      <c r="E217" s="21" t="s">
        <v>1616</v>
      </c>
      <c r="F217" s="21">
        <v>125</v>
      </c>
      <c r="G217" s="21">
        <v>300</v>
      </c>
      <c r="H217" s="21">
        <v>70</v>
      </c>
      <c r="I217" s="75">
        <v>5</v>
      </c>
      <c r="J217" s="21" t="s">
        <v>1617</v>
      </c>
      <c r="L217" s="21" t="s">
        <v>1618</v>
      </c>
      <c r="M217" s="76" t="b">
        <v>0</v>
      </c>
      <c r="N217" s="76" t="b">
        <v>0</v>
      </c>
      <c r="O217" s="21">
        <v>0</v>
      </c>
      <c r="P217" s="21" t="s">
        <v>180</v>
      </c>
      <c r="Q217" s="21" t="s">
        <v>277</v>
      </c>
      <c r="R217" s="21" t="s">
        <v>270</v>
      </c>
      <c r="S217" s="21" t="s">
        <v>1542</v>
      </c>
      <c r="T217" s="77" t="s">
        <v>33</v>
      </c>
      <c r="U217" s="77" t="s">
        <v>33</v>
      </c>
      <c r="V217" s="77" t="s">
        <v>1470</v>
      </c>
      <c r="W217" s="21" t="s">
        <v>35</v>
      </c>
      <c r="X217" s="21" t="s">
        <v>1544</v>
      </c>
      <c r="Y217" s="78" t="s">
        <v>1619</v>
      </c>
    </row>
    <row r="218" spans="1:25" x14ac:dyDescent="0.2">
      <c r="A218" s="70">
        <v>217</v>
      </c>
      <c r="B218" s="30" t="s">
        <v>1620</v>
      </c>
      <c r="C218" s="30" t="s">
        <v>1621</v>
      </c>
      <c r="D218" s="30" t="s">
        <v>95</v>
      </c>
      <c r="E218" s="30" t="s">
        <v>1622</v>
      </c>
      <c r="F218" s="30">
        <v>25</v>
      </c>
      <c r="G218" s="30">
        <v>300</v>
      </c>
      <c r="H218" s="30">
        <v>0</v>
      </c>
      <c r="I218" s="71">
        <v>20</v>
      </c>
      <c r="J218" s="30" t="s">
        <v>1623</v>
      </c>
      <c r="M218" s="32" t="b">
        <v>1</v>
      </c>
      <c r="N218" s="32" t="b">
        <v>0</v>
      </c>
      <c r="O218" s="30">
        <v>0</v>
      </c>
      <c r="P218" s="30" t="s">
        <v>122</v>
      </c>
      <c r="Q218" s="30" t="s">
        <v>277</v>
      </c>
      <c r="R218" s="30" t="s">
        <v>270</v>
      </c>
      <c r="S218" s="30" t="s">
        <v>1542</v>
      </c>
      <c r="T218" s="72" t="s">
        <v>33</v>
      </c>
      <c r="U218" s="72" t="s">
        <v>33</v>
      </c>
      <c r="V218" s="72" t="s">
        <v>1470</v>
      </c>
      <c r="W218" s="30" t="s">
        <v>11</v>
      </c>
      <c r="X218" s="30" t="s">
        <v>1544</v>
      </c>
      <c r="Y218" s="73" t="s">
        <v>1624</v>
      </c>
    </row>
    <row r="219" spans="1:25" x14ac:dyDescent="0.2">
      <c r="A219" s="74">
        <v>218</v>
      </c>
      <c r="B219" s="21" t="s">
        <v>1625</v>
      </c>
      <c r="C219" s="21" t="s">
        <v>1626</v>
      </c>
      <c r="D219" s="21" t="s">
        <v>27</v>
      </c>
      <c r="E219" s="21" t="s">
        <v>1627</v>
      </c>
      <c r="F219" s="21">
        <v>450</v>
      </c>
      <c r="G219" s="21">
        <v>300</v>
      </c>
      <c r="H219" s="21">
        <v>50</v>
      </c>
      <c r="I219" s="75">
        <v>10</v>
      </c>
      <c r="J219" s="21" t="s">
        <v>1628</v>
      </c>
      <c r="L219" s="21" t="s">
        <v>1629</v>
      </c>
      <c r="M219" s="76" t="b">
        <v>0</v>
      </c>
      <c r="N219" s="76" t="b">
        <v>0</v>
      </c>
      <c r="O219" s="21">
        <v>0</v>
      </c>
      <c r="P219" s="21" t="s">
        <v>268</v>
      </c>
      <c r="Q219" s="21" t="s">
        <v>277</v>
      </c>
      <c r="R219" s="21" t="s">
        <v>31</v>
      </c>
      <c r="S219" s="21" t="s">
        <v>1542</v>
      </c>
      <c r="T219" s="77" t="s">
        <v>33</v>
      </c>
      <c r="U219" s="77" t="s">
        <v>33</v>
      </c>
      <c r="V219" s="77" t="s">
        <v>1470</v>
      </c>
      <c r="W219" s="21" t="s">
        <v>35</v>
      </c>
      <c r="X219" s="21" t="s">
        <v>1544</v>
      </c>
      <c r="Y219" s="78" t="s">
        <v>1630</v>
      </c>
    </row>
    <row r="220" spans="1:25" x14ac:dyDescent="0.2">
      <c r="A220" s="70">
        <v>219</v>
      </c>
      <c r="B220" s="30" t="s">
        <v>1631</v>
      </c>
      <c r="C220" s="30" t="s">
        <v>1632</v>
      </c>
      <c r="D220" s="30" t="s">
        <v>95</v>
      </c>
      <c r="E220" s="30" t="s">
        <v>1633</v>
      </c>
      <c r="F220" s="30">
        <v>25</v>
      </c>
      <c r="G220" s="30">
        <v>1</v>
      </c>
      <c r="H220" s="30">
        <v>0</v>
      </c>
      <c r="I220" s="71">
        <v>20</v>
      </c>
      <c r="J220" s="30" t="s">
        <v>1634</v>
      </c>
      <c r="L220" s="30" t="s">
        <v>1635</v>
      </c>
      <c r="M220" s="32" t="b">
        <v>1</v>
      </c>
      <c r="N220" s="32" t="b">
        <v>0</v>
      </c>
      <c r="O220" s="30">
        <v>0</v>
      </c>
      <c r="P220" s="30" t="s">
        <v>30</v>
      </c>
      <c r="Q220" s="30" t="s">
        <v>1636</v>
      </c>
      <c r="R220" s="30" t="s">
        <v>187</v>
      </c>
      <c r="S220" s="30" t="s">
        <v>1542</v>
      </c>
      <c r="T220" s="72" t="s">
        <v>33</v>
      </c>
      <c r="U220" s="72" t="s">
        <v>33</v>
      </c>
      <c r="V220" s="72" t="s">
        <v>1470</v>
      </c>
      <c r="W220" s="30" t="s">
        <v>11</v>
      </c>
      <c r="X220" s="30" t="s">
        <v>1544</v>
      </c>
      <c r="Y220" s="73" t="s">
        <v>1637</v>
      </c>
    </row>
    <row r="221" spans="1:25" x14ac:dyDescent="0.2">
      <c r="A221" s="74">
        <v>220</v>
      </c>
      <c r="B221" s="21" t="s">
        <v>1638</v>
      </c>
      <c r="C221" s="21" t="s">
        <v>1639</v>
      </c>
      <c r="D221" s="21" t="s">
        <v>216</v>
      </c>
      <c r="E221" s="21" t="s">
        <v>1640</v>
      </c>
      <c r="F221" s="21">
        <v>150</v>
      </c>
      <c r="G221" s="21">
        <v>300</v>
      </c>
      <c r="H221" s="21">
        <v>30</v>
      </c>
      <c r="I221" s="75">
        <v>5</v>
      </c>
      <c r="J221" s="21" t="s">
        <v>1641</v>
      </c>
      <c r="L221" s="21" t="s">
        <v>1642</v>
      </c>
      <c r="M221" s="76" t="b">
        <v>0</v>
      </c>
      <c r="N221" s="76" t="b">
        <v>0</v>
      </c>
      <c r="O221" s="21">
        <v>0</v>
      </c>
      <c r="P221" s="21" t="s">
        <v>122</v>
      </c>
      <c r="Q221" s="21" t="s">
        <v>226</v>
      </c>
      <c r="R221" s="21" t="s">
        <v>43</v>
      </c>
      <c r="S221" s="21" t="s">
        <v>1542</v>
      </c>
      <c r="T221" s="77" t="s">
        <v>33</v>
      </c>
      <c r="U221" s="77" t="s">
        <v>33</v>
      </c>
      <c r="V221" s="77" t="s">
        <v>1470</v>
      </c>
      <c r="W221" s="21" t="s">
        <v>35</v>
      </c>
      <c r="X221" s="21" t="s">
        <v>1544</v>
      </c>
      <c r="Y221" s="78" t="s">
        <v>1643</v>
      </c>
    </row>
    <row r="222" spans="1:25" x14ac:dyDescent="0.2">
      <c r="A222" s="70">
        <v>221</v>
      </c>
      <c r="B222" s="30" t="s">
        <v>1644</v>
      </c>
      <c r="C222" s="30" t="s">
        <v>1645</v>
      </c>
      <c r="D222" s="30" t="s">
        <v>49</v>
      </c>
      <c r="E222" s="30" t="s">
        <v>1646</v>
      </c>
      <c r="F222" s="30">
        <v>75</v>
      </c>
      <c r="G222" s="30">
        <v>4000</v>
      </c>
      <c r="H222" s="30">
        <v>0</v>
      </c>
      <c r="I222" s="71">
        <v>20</v>
      </c>
      <c r="J222" s="30" t="s">
        <v>1647</v>
      </c>
      <c r="L222" s="30" t="s">
        <v>1648</v>
      </c>
      <c r="M222" s="32" t="b">
        <v>0</v>
      </c>
      <c r="N222" s="32" t="b">
        <v>0</v>
      </c>
      <c r="O222" s="30">
        <v>0</v>
      </c>
      <c r="P222" s="30" t="s">
        <v>122</v>
      </c>
      <c r="Q222" s="30" t="s">
        <v>1612</v>
      </c>
      <c r="R222" s="30" t="s">
        <v>130</v>
      </c>
      <c r="S222" s="30" t="s">
        <v>1542</v>
      </c>
      <c r="T222" s="72" t="s">
        <v>33</v>
      </c>
      <c r="U222" s="72" t="s">
        <v>33</v>
      </c>
      <c r="V222" s="72" t="s">
        <v>1470</v>
      </c>
      <c r="W222" s="30" t="s">
        <v>54</v>
      </c>
      <c r="X222" s="30" t="s">
        <v>1544</v>
      </c>
      <c r="Y222" s="73" t="s">
        <v>1649</v>
      </c>
    </row>
    <row r="223" spans="1:25" x14ac:dyDescent="0.2">
      <c r="A223" s="74">
        <v>222</v>
      </c>
      <c r="B223" s="21" t="s">
        <v>1650</v>
      </c>
      <c r="C223" s="21" t="s">
        <v>1651</v>
      </c>
      <c r="D223" s="21" t="s">
        <v>95</v>
      </c>
      <c r="E223" s="21" t="s">
        <v>1652</v>
      </c>
      <c r="F223" s="21">
        <v>75</v>
      </c>
      <c r="G223" s="21">
        <v>1</v>
      </c>
      <c r="H223" s="21">
        <v>5</v>
      </c>
      <c r="I223" s="75">
        <v>20</v>
      </c>
      <c r="J223" s="21" t="s">
        <v>1468</v>
      </c>
      <c r="L223" s="21" t="s">
        <v>1653</v>
      </c>
      <c r="M223" s="76" t="b">
        <v>1</v>
      </c>
      <c r="N223" s="76" t="b">
        <v>1</v>
      </c>
      <c r="O223" s="21">
        <v>0</v>
      </c>
      <c r="P223" s="21" t="s">
        <v>122</v>
      </c>
      <c r="R223" s="21" t="s">
        <v>130</v>
      </c>
      <c r="S223" s="21" t="s">
        <v>1542</v>
      </c>
      <c r="T223" s="77" t="s">
        <v>33</v>
      </c>
      <c r="U223" s="77" t="s">
        <v>33</v>
      </c>
      <c r="V223" s="77" t="s">
        <v>1654</v>
      </c>
      <c r="W223" s="21" t="s">
        <v>11</v>
      </c>
      <c r="X223" s="21" t="s">
        <v>1544</v>
      </c>
      <c r="Y223" s="78" t="s">
        <v>1655</v>
      </c>
    </row>
    <row r="224" spans="1:25" x14ac:dyDescent="0.2">
      <c r="A224" s="70">
        <v>223</v>
      </c>
      <c r="B224" s="30" t="s">
        <v>1656</v>
      </c>
      <c r="C224" s="30" t="s">
        <v>1657</v>
      </c>
      <c r="D224" s="30" t="s">
        <v>27</v>
      </c>
      <c r="E224" s="30" t="s">
        <v>1658</v>
      </c>
      <c r="F224" s="30">
        <v>375</v>
      </c>
      <c r="G224" s="30">
        <v>300</v>
      </c>
      <c r="H224" s="30">
        <v>200</v>
      </c>
      <c r="I224" s="71">
        <v>7.5</v>
      </c>
      <c r="J224" s="30" t="s">
        <v>1659</v>
      </c>
      <c r="L224" s="30" t="s">
        <v>1660</v>
      </c>
      <c r="M224" s="32" t="b">
        <v>0</v>
      </c>
      <c r="N224" s="32" t="b">
        <v>0</v>
      </c>
      <c r="O224" s="30">
        <v>0</v>
      </c>
      <c r="P224" s="30" t="s">
        <v>666</v>
      </c>
      <c r="Q224" s="30" t="s">
        <v>1661</v>
      </c>
      <c r="R224" s="30" t="s">
        <v>43</v>
      </c>
      <c r="S224" s="30" t="s">
        <v>1542</v>
      </c>
      <c r="T224" s="72" t="s">
        <v>33</v>
      </c>
      <c r="U224" s="72" t="s">
        <v>33</v>
      </c>
      <c r="V224" s="72" t="s">
        <v>1662</v>
      </c>
      <c r="W224" s="30" t="s">
        <v>35</v>
      </c>
      <c r="X224" s="30" t="s">
        <v>1663</v>
      </c>
      <c r="Y224" s="73" t="s">
        <v>1664</v>
      </c>
    </row>
    <row r="225" spans="1:25" x14ac:dyDescent="0.2">
      <c r="A225" s="74">
        <v>224</v>
      </c>
      <c r="B225" s="21" t="s">
        <v>1665</v>
      </c>
      <c r="C225" s="21" t="s">
        <v>1666</v>
      </c>
      <c r="D225" s="21" t="s">
        <v>199</v>
      </c>
      <c r="E225" s="21" t="s">
        <v>1667</v>
      </c>
      <c r="F225" s="21">
        <v>450</v>
      </c>
      <c r="G225" s="21">
        <v>300</v>
      </c>
      <c r="H225" s="21">
        <v>200</v>
      </c>
      <c r="I225" s="75">
        <v>5</v>
      </c>
      <c r="J225" s="21" t="s">
        <v>1668</v>
      </c>
      <c r="L225" s="21" t="s">
        <v>1669</v>
      </c>
      <c r="M225" s="76" t="b">
        <v>0</v>
      </c>
      <c r="N225" s="76" t="b">
        <v>0</v>
      </c>
      <c r="O225" s="21">
        <v>0</v>
      </c>
      <c r="P225" s="21" t="s">
        <v>666</v>
      </c>
      <c r="Q225" s="21" t="s">
        <v>1670</v>
      </c>
      <c r="R225" s="21" t="s">
        <v>43</v>
      </c>
      <c r="S225" s="21" t="s">
        <v>1542</v>
      </c>
      <c r="T225" s="77" t="s">
        <v>33</v>
      </c>
      <c r="U225" s="77" t="s">
        <v>33</v>
      </c>
      <c r="V225" s="77" t="s">
        <v>1671</v>
      </c>
      <c r="W225" s="21" t="s">
        <v>35</v>
      </c>
      <c r="X225" s="21" t="s">
        <v>1544</v>
      </c>
      <c r="Y225" s="78" t="s">
        <v>1672</v>
      </c>
    </row>
    <row r="226" spans="1:25" x14ac:dyDescent="0.2">
      <c r="A226" s="70">
        <v>225</v>
      </c>
      <c r="B226" s="30" t="s">
        <v>1673</v>
      </c>
      <c r="C226" s="30" t="s">
        <v>1674</v>
      </c>
      <c r="D226" s="30" t="s">
        <v>105</v>
      </c>
      <c r="E226" s="30" t="s">
        <v>1675</v>
      </c>
      <c r="F226" s="30">
        <v>75</v>
      </c>
      <c r="G226" s="30">
        <v>1500</v>
      </c>
      <c r="H226" s="30">
        <v>100</v>
      </c>
      <c r="I226" s="71">
        <v>20</v>
      </c>
      <c r="J226" s="30" t="s">
        <v>1676</v>
      </c>
      <c r="K226" s="30" t="s">
        <v>1677</v>
      </c>
      <c r="L226" s="30" t="s">
        <v>1678</v>
      </c>
      <c r="M226" s="32" t="b">
        <v>0</v>
      </c>
      <c r="N226" s="32" t="b">
        <v>0</v>
      </c>
      <c r="O226" s="30">
        <v>0</v>
      </c>
      <c r="P226" s="30" t="s">
        <v>268</v>
      </c>
      <c r="Q226" s="30" t="s">
        <v>1679</v>
      </c>
      <c r="R226" s="30" t="s">
        <v>72</v>
      </c>
      <c r="S226" s="30" t="s">
        <v>1542</v>
      </c>
      <c r="T226" s="72" t="s">
        <v>33</v>
      </c>
      <c r="U226" s="72" t="s">
        <v>33</v>
      </c>
      <c r="V226" s="72" t="s">
        <v>1680</v>
      </c>
      <c r="W226" s="30" t="s">
        <v>111</v>
      </c>
      <c r="X226" s="30" t="s">
        <v>1544</v>
      </c>
      <c r="Y226" s="73" t="s">
        <v>1681</v>
      </c>
    </row>
    <row r="227" spans="1:25" x14ac:dyDescent="0.2">
      <c r="A227" s="74">
        <v>226</v>
      </c>
      <c r="B227" s="21" t="s">
        <v>1682</v>
      </c>
      <c r="C227" s="21" t="s">
        <v>1683</v>
      </c>
      <c r="D227" s="21" t="s">
        <v>95</v>
      </c>
      <c r="E227" s="21" t="s">
        <v>1684</v>
      </c>
      <c r="F227" s="21">
        <v>0</v>
      </c>
      <c r="G227" s="21">
        <v>1500</v>
      </c>
      <c r="H227" s="21">
        <v>0</v>
      </c>
      <c r="I227" s="75">
        <v>20</v>
      </c>
      <c r="J227" s="21" t="s">
        <v>1468</v>
      </c>
      <c r="L227" s="21" t="s">
        <v>1685</v>
      </c>
      <c r="M227" s="76" t="b">
        <v>1</v>
      </c>
      <c r="N227" s="76" t="b">
        <v>0</v>
      </c>
      <c r="O227" s="21">
        <v>0</v>
      </c>
      <c r="P227" s="21" t="s">
        <v>30</v>
      </c>
      <c r="R227" s="21" t="s">
        <v>62</v>
      </c>
      <c r="S227" s="21" t="s">
        <v>1542</v>
      </c>
      <c r="T227" s="77" t="s">
        <v>33</v>
      </c>
      <c r="U227" s="77" t="s">
        <v>33</v>
      </c>
      <c r="V227" s="77" t="s">
        <v>1470</v>
      </c>
      <c r="W227" s="21" t="s">
        <v>11</v>
      </c>
      <c r="X227" s="21" t="s">
        <v>1544</v>
      </c>
      <c r="Y227" s="78" t="s">
        <v>1686</v>
      </c>
    </row>
    <row r="228" spans="1:25" x14ac:dyDescent="0.2">
      <c r="A228" s="70">
        <v>227</v>
      </c>
      <c r="B228" s="30" t="s">
        <v>1687</v>
      </c>
      <c r="C228" s="30" t="s">
        <v>1688</v>
      </c>
      <c r="D228" s="30" t="s">
        <v>105</v>
      </c>
      <c r="E228" s="30" t="s">
        <v>1689</v>
      </c>
      <c r="F228" s="30">
        <v>175</v>
      </c>
      <c r="G228" s="30">
        <v>300</v>
      </c>
      <c r="H228" s="30">
        <v>25</v>
      </c>
      <c r="I228" s="71">
        <v>5</v>
      </c>
      <c r="J228" s="30" t="s">
        <v>1690</v>
      </c>
      <c r="K228" s="30" t="s">
        <v>1691</v>
      </c>
      <c r="M228" s="32" t="b">
        <v>0</v>
      </c>
      <c r="N228" s="32" t="b">
        <v>0</v>
      </c>
      <c r="O228" s="30">
        <v>0</v>
      </c>
      <c r="P228" s="30" t="s">
        <v>666</v>
      </c>
      <c r="Q228" s="30" t="s">
        <v>226</v>
      </c>
      <c r="R228" s="30" t="s">
        <v>72</v>
      </c>
      <c r="S228" s="30" t="s">
        <v>1542</v>
      </c>
      <c r="T228" s="72" t="s">
        <v>33</v>
      </c>
      <c r="U228" s="72" t="s">
        <v>33</v>
      </c>
      <c r="V228" s="72" t="s">
        <v>1692</v>
      </c>
      <c r="W228" s="30" t="s">
        <v>111</v>
      </c>
      <c r="X228" s="30" t="s">
        <v>1544</v>
      </c>
      <c r="Y228" s="73" t="s">
        <v>1693</v>
      </c>
    </row>
    <row r="229" spans="1:25" x14ac:dyDescent="0.2">
      <c r="A229" s="74">
        <v>228</v>
      </c>
      <c r="B229" s="21" t="s">
        <v>1694</v>
      </c>
      <c r="C229" s="21" t="s">
        <v>1695</v>
      </c>
      <c r="D229" s="21" t="s">
        <v>95</v>
      </c>
      <c r="E229" s="21" t="s">
        <v>1696</v>
      </c>
      <c r="F229" s="21">
        <v>0</v>
      </c>
      <c r="G229" s="21">
        <v>2000</v>
      </c>
      <c r="H229" s="21">
        <v>0</v>
      </c>
      <c r="I229" s="75">
        <v>20</v>
      </c>
      <c r="J229" s="21" t="s">
        <v>1697</v>
      </c>
      <c r="K229" s="21" t="s">
        <v>1698</v>
      </c>
      <c r="L229" s="21" t="s">
        <v>1699</v>
      </c>
      <c r="M229" s="76" t="b">
        <v>0</v>
      </c>
      <c r="N229" s="76" t="b">
        <v>0</v>
      </c>
      <c r="O229" s="21">
        <v>0</v>
      </c>
      <c r="P229" s="21" t="s">
        <v>30</v>
      </c>
      <c r="R229" s="21" t="s">
        <v>366</v>
      </c>
      <c r="S229" s="21" t="s">
        <v>1542</v>
      </c>
      <c r="T229" s="77" t="s">
        <v>33</v>
      </c>
      <c r="U229" s="77" t="s">
        <v>33</v>
      </c>
      <c r="V229" s="77" t="s">
        <v>1700</v>
      </c>
      <c r="W229" s="21" t="s">
        <v>11</v>
      </c>
      <c r="X229" s="21" t="s">
        <v>1544</v>
      </c>
      <c r="Y229" s="78" t="s">
        <v>1701</v>
      </c>
    </row>
    <row r="230" spans="1:25" x14ac:dyDescent="0.2">
      <c r="A230" s="70">
        <v>229</v>
      </c>
      <c r="B230" s="30" t="s">
        <v>1702</v>
      </c>
      <c r="C230" s="30" t="s">
        <v>1703</v>
      </c>
      <c r="D230" s="30" t="s">
        <v>199</v>
      </c>
      <c r="E230" s="30" t="s">
        <v>1704</v>
      </c>
      <c r="F230" s="30">
        <v>200</v>
      </c>
      <c r="G230" s="30">
        <v>300</v>
      </c>
      <c r="H230" s="30">
        <v>20</v>
      </c>
      <c r="I230" s="71">
        <v>15</v>
      </c>
      <c r="J230" s="30" t="s">
        <v>1705</v>
      </c>
      <c r="M230" s="32" t="b">
        <v>0</v>
      </c>
      <c r="N230" s="32" t="b">
        <v>0</v>
      </c>
      <c r="O230" s="30">
        <v>0</v>
      </c>
      <c r="P230" s="30" t="s">
        <v>268</v>
      </c>
      <c r="R230" s="30" t="s">
        <v>62</v>
      </c>
      <c r="S230" s="30" t="s">
        <v>1542</v>
      </c>
      <c r="T230" s="72" t="s">
        <v>33</v>
      </c>
      <c r="U230" s="72" t="s">
        <v>33</v>
      </c>
      <c r="V230" s="72" t="s">
        <v>1706</v>
      </c>
      <c r="W230" s="30" t="s">
        <v>35</v>
      </c>
      <c r="X230" s="30" t="s">
        <v>1544</v>
      </c>
      <c r="Y230" s="73" t="s">
        <v>1707</v>
      </c>
    </row>
    <row r="231" spans="1:25" x14ac:dyDescent="0.2">
      <c r="A231" s="74">
        <v>230</v>
      </c>
      <c r="B231" s="21" t="s">
        <v>1708</v>
      </c>
      <c r="C231" s="21" t="s">
        <v>1709</v>
      </c>
      <c r="D231" s="21" t="s">
        <v>27</v>
      </c>
      <c r="E231" s="21" t="s">
        <v>1710</v>
      </c>
      <c r="F231" s="21">
        <v>125</v>
      </c>
      <c r="G231" s="21">
        <v>300</v>
      </c>
      <c r="H231" s="21">
        <v>30</v>
      </c>
      <c r="I231" s="75">
        <v>5</v>
      </c>
      <c r="J231" s="21" t="s">
        <v>1711</v>
      </c>
      <c r="M231" s="76" t="b">
        <v>0</v>
      </c>
      <c r="N231" s="76" t="b">
        <v>0</v>
      </c>
      <c r="O231" s="21">
        <v>0</v>
      </c>
      <c r="P231" s="21" t="s">
        <v>180</v>
      </c>
      <c r="Q231" s="21" t="s">
        <v>226</v>
      </c>
      <c r="R231" s="21" t="s">
        <v>43</v>
      </c>
      <c r="S231" s="21" t="s">
        <v>1542</v>
      </c>
      <c r="T231" s="77" t="s">
        <v>33</v>
      </c>
      <c r="U231" s="77" t="s">
        <v>33</v>
      </c>
      <c r="V231" s="77" t="s">
        <v>1712</v>
      </c>
      <c r="W231" s="21" t="s">
        <v>35</v>
      </c>
      <c r="X231" s="21" t="s">
        <v>1544</v>
      </c>
      <c r="Y231" s="78" t="s">
        <v>1713</v>
      </c>
    </row>
    <row r="232" spans="1:25" x14ac:dyDescent="0.2">
      <c r="A232" s="70">
        <v>231</v>
      </c>
      <c r="B232" s="30" t="s">
        <v>1714</v>
      </c>
      <c r="C232" s="30" t="s">
        <v>1715</v>
      </c>
      <c r="D232" s="30" t="s">
        <v>27</v>
      </c>
      <c r="E232" s="30" t="s">
        <v>1716</v>
      </c>
      <c r="F232" s="30">
        <v>75</v>
      </c>
      <c r="G232" s="30">
        <v>300</v>
      </c>
      <c r="H232" s="30">
        <v>30</v>
      </c>
      <c r="I232" s="71">
        <v>20</v>
      </c>
      <c r="J232" s="30" t="s">
        <v>1717</v>
      </c>
      <c r="M232" s="32" t="b">
        <v>0</v>
      </c>
      <c r="N232" s="32" t="b">
        <v>0</v>
      </c>
      <c r="O232" s="30">
        <v>0</v>
      </c>
      <c r="P232" s="30" t="s">
        <v>268</v>
      </c>
      <c r="Q232" s="30" t="s">
        <v>226</v>
      </c>
      <c r="R232" s="30" t="s">
        <v>43</v>
      </c>
      <c r="S232" s="30" t="s">
        <v>1542</v>
      </c>
      <c r="T232" s="72" t="s">
        <v>33</v>
      </c>
      <c r="U232" s="72" t="s">
        <v>33</v>
      </c>
      <c r="V232" s="72" t="s">
        <v>1718</v>
      </c>
      <c r="W232" s="30" t="s">
        <v>35</v>
      </c>
      <c r="X232" s="30" t="s">
        <v>1544</v>
      </c>
      <c r="Y232" s="73" t="s">
        <v>1719</v>
      </c>
    </row>
    <row r="233" spans="1:25" x14ac:dyDescent="0.2">
      <c r="A233" s="74">
        <v>232</v>
      </c>
      <c r="B233" s="21" t="s">
        <v>1720</v>
      </c>
      <c r="C233" s="21" t="s">
        <v>1721</v>
      </c>
      <c r="D233" s="21" t="s">
        <v>59</v>
      </c>
      <c r="E233" s="21" t="s">
        <v>1722</v>
      </c>
      <c r="F233" s="21">
        <v>150</v>
      </c>
      <c r="G233" s="21">
        <v>300</v>
      </c>
      <c r="H233" s="21">
        <v>200</v>
      </c>
      <c r="I233" s="75">
        <v>20</v>
      </c>
      <c r="J233" s="21" t="s">
        <v>1723</v>
      </c>
      <c r="L233" s="21" t="s">
        <v>1724</v>
      </c>
      <c r="M233" s="76" t="b">
        <v>0</v>
      </c>
      <c r="N233" s="76" t="b">
        <v>0</v>
      </c>
      <c r="O233" s="21">
        <v>0</v>
      </c>
      <c r="P233" s="21" t="s">
        <v>666</v>
      </c>
      <c r="Q233" s="21" t="s">
        <v>166</v>
      </c>
      <c r="R233" s="21" t="s">
        <v>187</v>
      </c>
      <c r="S233" s="21" t="s">
        <v>1542</v>
      </c>
      <c r="T233" s="77" t="s">
        <v>33</v>
      </c>
      <c r="U233" s="77" t="s">
        <v>33</v>
      </c>
      <c r="V233" s="77" t="s">
        <v>1470</v>
      </c>
      <c r="W233" s="21" t="s">
        <v>35</v>
      </c>
      <c r="X233" s="21" t="s">
        <v>1544</v>
      </c>
      <c r="Y233" s="78" t="s">
        <v>1725</v>
      </c>
    </row>
    <row r="234" spans="1:25" x14ac:dyDescent="0.2">
      <c r="A234" s="70">
        <v>233</v>
      </c>
      <c r="B234" s="30" t="s">
        <v>1726</v>
      </c>
      <c r="C234" s="30" t="s">
        <v>1727</v>
      </c>
      <c r="D234" s="30" t="s">
        <v>199</v>
      </c>
      <c r="E234" s="30" t="s">
        <v>1728</v>
      </c>
      <c r="F234" s="30">
        <v>175</v>
      </c>
      <c r="G234" s="30">
        <v>300</v>
      </c>
      <c r="H234" s="30">
        <v>30</v>
      </c>
      <c r="I234" s="71">
        <v>20</v>
      </c>
      <c r="J234" s="30" t="s">
        <v>1729</v>
      </c>
      <c r="L234" s="30" t="s">
        <v>1730</v>
      </c>
      <c r="M234" s="32" t="b">
        <v>0</v>
      </c>
      <c r="N234" s="32" t="b">
        <v>0</v>
      </c>
      <c r="O234" s="30">
        <v>0</v>
      </c>
      <c r="P234" s="30" t="s">
        <v>666</v>
      </c>
      <c r="Q234" s="30" t="s">
        <v>908</v>
      </c>
      <c r="R234" s="30" t="s">
        <v>43</v>
      </c>
      <c r="S234" s="30" t="s">
        <v>1542</v>
      </c>
      <c r="T234" s="72" t="s">
        <v>33</v>
      </c>
      <c r="U234" s="72" t="s">
        <v>33</v>
      </c>
      <c r="V234" s="72" t="s">
        <v>1470</v>
      </c>
      <c r="W234" s="30" t="s">
        <v>35</v>
      </c>
      <c r="X234" s="30" t="s">
        <v>1544</v>
      </c>
      <c r="Y234" s="73" t="s">
        <v>1731</v>
      </c>
    </row>
    <row r="235" spans="1:25" x14ac:dyDescent="0.2">
      <c r="A235" s="74">
        <v>234</v>
      </c>
      <c r="B235" s="21" t="s">
        <v>1732</v>
      </c>
      <c r="C235" s="21" t="s">
        <v>1733</v>
      </c>
      <c r="D235" s="21" t="s">
        <v>105</v>
      </c>
      <c r="E235" s="21" t="s">
        <v>1734</v>
      </c>
      <c r="F235" s="21">
        <v>225</v>
      </c>
      <c r="G235" s="21">
        <v>300</v>
      </c>
      <c r="H235" s="21">
        <v>13</v>
      </c>
      <c r="I235" s="75">
        <v>7.5</v>
      </c>
      <c r="J235" s="21" t="s">
        <v>1735</v>
      </c>
      <c r="L235" s="21" t="s">
        <v>1736</v>
      </c>
      <c r="M235" s="76" t="b">
        <v>0</v>
      </c>
      <c r="N235" s="76" t="b">
        <v>0</v>
      </c>
      <c r="O235" s="21">
        <v>0</v>
      </c>
      <c r="P235" s="21" t="s">
        <v>180</v>
      </c>
      <c r="R235" s="21" t="s">
        <v>43</v>
      </c>
      <c r="S235" s="21" t="s">
        <v>1542</v>
      </c>
      <c r="T235" s="77" t="s">
        <v>33</v>
      </c>
      <c r="U235" s="77" t="s">
        <v>33</v>
      </c>
      <c r="V235" s="77" t="s">
        <v>1470</v>
      </c>
      <c r="W235" s="21" t="s">
        <v>111</v>
      </c>
      <c r="X235" s="21" t="s">
        <v>1544</v>
      </c>
      <c r="Y235" s="78" t="s">
        <v>1738</v>
      </c>
    </row>
    <row r="236" spans="1:25" x14ac:dyDescent="0.2">
      <c r="A236" s="70">
        <v>235</v>
      </c>
      <c r="B236" s="30" t="s">
        <v>1739</v>
      </c>
      <c r="C236" s="30" t="s">
        <v>1740</v>
      </c>
      <c r="D236" s="30" t="s">
        <v>68</v>
      </c>
      <c r="E236" s="30" t="s">
        <v>1741</v>
      </c>
      <c r="F236" s="30">
        <v>150</v>
      </c>
      <c r="G236" s="30">
        <v>300</v>
      </c>
      <c r="H236" s="30">
        <v>100</v>
      </c>
      <c r="I236" s="71">
        <v>20</v>
      </c>
      <c r="J236" s="30" t="s">
        <v>1742</v>
      </c>
      <c r="M236" s="32" t="b">
        <v>0</v>
      </c>
      <c r="N236" s="32" t="b">
        <v>0</v>
      </c>
      <c r="O236" s="30">
        <v>0</v>
      </c>
      <c r="P236" s="30" t="s">
        <v>666</v>
      </c>
      <c r="Q236" s="30" t="s">
        <v>226</v>
      </c>
      <c r="R236" s="30" t="s">
        <v>187</v>
      </c>
      <c r="S236" s="30" t="s">
        <v>1542</v>
      </c>
      <c r="T236" s="72" t="s">
        <v>33</v>
      </c>
      <c r="U236" s="72" t="s">
        <v>33</v>
      </c>
      <c r="V236" s="72" t="s">
        <v>1470</v>
      </c>
      <c r="W236" s="30" t="s">
        <v>35</v>
      </c>
      <c r="X236" s="30" t="s">
        <v>1544</v>
      </c>
      <c r="Y236" s="73" t="s">
        <v>1743</v>
      </c>
    </row>
    <row r="237" spans="1:25" x14ac:dyDescent="0.2">
      <c r="A237" s="74">
        <v>236</v>
      </c>
      <c r="B237" s="21" t="s">
        <v>1744</v>
      </c>
      <c r="C237" s="21" t="s">
        <v>1745</v>
      </c>
      <c r="D237" s="21" t="s">
        <v>49</v>
      </c>
      <c r="E237" s="21" t="s">
        <v>1746</v>
      </c>
      <c r="F237" s="21">
        <v>125</v>
      </c>
      <c r="G237" s="21">
        <v>6000</v>
      </c>
      <c r="H237" s="21">
        <v>0</v>
      </c>
      <c r="I237" s="75">
        <v>15</v>
      </c>
      <c r="J237" s="21" t="s">
        <v>1747</v>
      </c>
      <c r="M237" s="76" t="b">
        <v>0</v>
      </c>
      <c r="N237" s="76" t="b">
        <v>0</v>
      </c>
      <c r="O237" s="21">
        <v>0</v>
      </c>
      <c r="P237" s="21" t="s">
        <v>122</v>
      </c>
      <c r="R237" s="21" t="s">
        <v>130</v>
      </c>
      <c r="S237" s="21" t="s">
        <v>1542</v>
      </c>
      <c r="T237" s="77" t="s">
        <v>33</v>
      </c>
      <c r="U237" s="77" t="s">
        <v>33</v>
      </c>
      <c r="V237" s="77" t="s">
        <v>1470</v>
      </c>
      <c r="W237" s="21" t="s">
        <v>54</v>
      </c>
      <c r="X237" s="21" t="s">
        <v>1544</v>
      </c>
      <c r="Y237" s="78" t="s">
        <v>1748</v>
      </c>
    </row>
    <row r="238" spans="1:25" x14ac:dyDescent="0.2">
      <c r="A238" s="70">
        <v>237</v>
      </c>
      <c r="B238" s="30" t="s">
        <v>1749</v>
      </c>
      <c r="C238" s="30" t="s">
        <v>1750</v>
      </c>
      <c r="D238" s="30" t="s">
        <v>95</v>
      </c>
      <c r="E238" s="30" t="s">
        <v>1751</v>
      </c>
      <c r="F238" s="30">
        <v>25</v>
      </c>
      <c r="G238" s="30">
        <v>100</v>
      </c>
      <c r="H238" s="30">
        <v>0</v>
      </c>
      <c r="I238" s="71">
        <v>13</v>
      </c>
      <c r="J238" s="30" t="s">
        <v>1468</v>
      </c>
      <c r="M238" s="32" t="b">
        <v>1</v>
      </c>
      <c r="N238" s="32" t="b">
        <v>1</v>
      </c>
      <c r="O238" s="30">
        <v>0</v>
      </c>
      <c r="P238" s="30" t="s">
        <v>122</v>
      </c>
      <c r="R238" s="30" t="s">
        <v>130</v>
      </c>
      <c r="S238" s="30" t="s">
        <v>1542</v>
      </c>
      <c r="T238" s="72" t="s">
        <v>33</v>
      </c>
      <c r="U238" s="72" t="s">
        <v>33</v>
      </c>
      <c r="V238" s="72" t="s">
        <v>1752</v>
      </c>
      <c r="W238" s="30" t="s">
        <v>11</v>
      </c>
      <c r="X238" s="30" t="s">
        <v>1544</v>
      </c>
      <c r="Y238" s="73" t="s">
        <v>1753</v>
      </c>
    </row>
    <row r="239" spans="1:25" x14ac:dyDescent="0.2">
      <c r="A239" s="74">
        <v>238</v>
      </c>
      <c r="B239" s="21" t="s">
        <v>1754</v>
      </c>
      <c r="C239" s="21" t="s">
        <v>1755</v>
      </c>
      <c r="D239" s="21" t="s">
        <v>68</v>
      </c>
      <c r="E239" s="21" t="s">
        <v>1756</v>
      </c>
      <c r="F239" s="21">
        <v>175</v>
      </c>
      <c r="G239" s="21">
        <v>300</v>
      </c>
      <c r="H239" s="21">
        <v>100</v>
      </c>
      <c r="I239" s="75">
        <v>10</v>
      </c>
      <c r="J239" s="21" t="s">
        <v>1757</v>
      </c>
      <c r="M239" s="76" t="b">
        <v>0</v>
      </c>
      <c r="N239" s="76" t="b">
        <v>0</v>
      </c>
      <c r="O239" s="21">
        <v>0</v>
      </c>
      <c r="P239" s="21" t="s">
        <v>666</v>
      </c>
      <c r="R239" s="21" t="s">
        <v>130</v>
      </c>
      <c r="S239" s="21" t="s">
        <v>1542</v>
      </c>
      <c r="T239" s="77" t="s">
        <v>33</v>
      </c>
      <c r="U239" s="77" t="s">
        <v>33</v>
      </c>
      <c r="V239" s="77" t="s">
        <v>1470</v>
      </c>
      <c r="W239" s="21" t="s">
        <v>35</v>
      </c>
      <c r="X239" s="21" t="s">
        <v>1544</v>
      </c>
      <c r="Y239" s="78" t="s">
        <v>1758</v>
      </c>
    </row>
    <row r="240" spans="1:25" x14ac:dyDescent="0.2">
      <c r="A240" s="70">
        <v>239</v>
      </c>
      <c r="B240" s="30" t="s">
        <v>1759</v>
      </c>
      <c r="C240" s="30" t="s">
        <v>1760</v>
      </c>
      <c r="D240" s="30" t="s">
        <v>95</v>
      </c>
      <c r="E240" s="30" t="s">
        <v>1761</v>
      </c>
      <c r="F240" s="30">
        <v>50</v>
      </c>
      <c r="G240" s="30">
        <v>300</v>
      </c>
      <c r="H240" s="30">
        <v>0</v>
      </c>
      <c r="I240" s="71">
        <v>10</v>
      </c>
      <c r="J240" s="30" t="s">
        <v>1762</v>
      </c>
      <c r="M240" s="32" t="b">
        <v>0</v>
      </c>
      <c r="N240" s="32" t="b">
        <v>0</v>
      </c>
      <c r="O240" s="30">
        <v>0</v>
      </c>
      <c r="P240" s="30" t="s">
        <v>122</v>
      </c>
      <c r="Q240" s="30" t="s">
        <v>3278</v>
      </c>
      <c r="R240" s="30" t="s">
        <v>43</v>
      </c>
      <c r="S240" s="30" t="s">
        <v>1542</v>
      </c>
      <c r="T240" s="72" t="s">
        <v>33</v>
      </c>
      <c r="U240" s="72" t="s">
        <v>33</v>
      </c>
      <c r="V240" s="72" t="s">
        <v>1470</v>
      </c>
      <c r="W240" s="30" t="s">
        <v>11</v>
      </c>
      <c r="X240" s="30" t="s">
        <v>1544</v>
      </c>
      <c r="Y240" s="73" t="s">
        <v>1764</v>
      </c>
    </row>
    <row r="241" spans="1:25" x14ac:dyDescent="0.2">
      <c r="A241" s="74">
        <v>240</v>
      </c>
      <c r="B241" s="21" t="s">
        <v>1765</v>
      </c>
      <c r="C241" s="21" t="s">
        <v>1766</v>
      </c>
      <c r="D241" s="21" t="s">
        <v>49</v>
      </c>
      <c r="E241" s="21" t="s">
        <v>1767</v>
      </c>
      <c r="F241" s="21">
        <v>100</v>
      </c>
      <c r="G241" s="21">
        <v>4000</v>
      </c>
      <c r="H241" s="21">
        <v>0</v>
      </c>
      <c r="I241" s="75">
        <v>10</v>
      </c>
      <c r="J241" s="21" t="s">
        <v>1768</v>
      </c>
      <c r="M241" s="76" t="b">
        <v>0</v>
      </c>
      <c r="N241" s="76" t="b">
        <v>0</v>
      </c>
      <c r="O241" s="21">
        <v>0</v>
      </c>
      <c r="P241" s="21" t="s">
        <v>122</v>
      </c>
      <c r="R241" s="21" t="s">
        <v>43</v>
      </c>
      <c r="S241" s="21" t="s">
        <v>1542</v>
      </c>
      <c r="T241" s="77" t="s">
        <v>33</v>
      </c>
      <c r="U241" s="77" t="s">
        <v>33</v>
      </c>
      <c r="V241" s="77" t="s">
        <v>1470</v>
      </c>
      <c r="W241" s="21" t="s">
        <v>54</v>
      </c>
      <c r="X241" s="21" t="s">
        <v>1544</v>
      </c>
      <c r="Y241" s="78" t="s">
        <v>1769</v>
      </c>
    </row>
    <row r="242" spans="1:25" x14ac:dyDescent="0.2">
      <c r="A242" s="70">
        <v>241</v>
      </c>
      <c r="B242" s="30" t="s">
        <v>1770</v>
      </c>
      <c r="C242" s="30" t="s">
        <v>1770</v>
      </c>
      <c r="D242" s="30" t="s">
        <v>27</v>
      </c>
      <c r="E242" s="30" t="s">
        <v>1771</v>
      </c>
      <c r="F242" s="30">
        <v>200</v>
      </c>
      <c r="G242" s="30">
        <v>300</v>
      </c>
      <c r="H242" s="30">
        <v>120</v>
      </c>
      <c r="I242" s="71">
        <v>7.5</v>
      </c>
      <c r="J242" s="30" t="s">
        <v>1772</v>
      </c>
      <c r="M242" s="32" t="b">
        <v>0</v>
      </c>
      <c r="N242" s="32" t="b">
        <v>0</v>
      </c>
      <c r="O242" s="30">
        <v>0</v>
      </c>
      <c r="P242" s="30" t="s">
        <v>180</v>
      </c>
      <c r="R242" s="30" t="s">
        <v>72</v>
      </c>
      <c r="S242" s="30" t="s">
        <v>1542</v>
      </c>
      <c r="T242" s="72" t="s">
        <v>33</v>
      </c>
      <c r="U242" s="72" t="s">
        <v>33</v>
      </c>
      <c r="V242" s="72" t="s">
        <v>1470</v>
      </c>
      <c r="W242" s="30" t="s">
        <v>35</v>
      </c>
      <c r="X242" s="30" t="s">
        <v>1544</v>
      </c>
      <c r="Y242" s="73" t="s">
        <v>1773</v>
      </c>
    </row>
    <row r="243" spans="1:25" x14ac:dyDescent="0.2">
      <c r="A243" s="74">
        <v>242</v>
      </c>
      <c r="B243" s="21" t="s">
        <v>1774</v>
      </c>
      <c r="C243" s="21" t="s">
        <v>1775</v>
      </c>
      <c r="D243" s="21" t="s">
        <v>78</v>
      </c>
      <c r="E243" s="21" t="s">
        <v>1776</v>
      </c>
      <c r="F243" s="21">
        <v>200</v>
      </c>
      <c r="G243" s="21">
        <v>300</v>
      </c>
      <c r="H243" s="21">
        <v>60</v>
      </c>
      <c r="I243" s="75">
        <v>7</v>
      </c>
      <c r="J243" s="21" t="s">
        <v>1777</v>
      </c>
      <c r="M243" s="76" t="b">
        <v>0</v>
      </c>
      <c r="N243" s="76" t="b">
        <v>0</v>
      </c>
      <c r="O243" s="21">
        <v>0</v>
      </c>
      <c r="P243" s="21" t="s">
        <v>268</v>
      </c>
      <c r="Q243" s="21" t="s">
        <v>226</v>
      </c>
      <c r="R243" s="21" t="s">
        <v>72</v>
      </c>
      <c r="S243" s="21" t="s">
        <v>1542</v>
      </c>
      <c r="T243" s="77" t="s">
        <v>33</v>
      </c>
      <c r="U243" s="77" t="s">
        <v>33</v>
      </c>
      <c r="V243" s="77" t="s">
        <v>1470</v>
      </c>
      <c r="W243" s="21" t="s">
        <v>111</v>
      </c>
      <c r="X243" s="21" t="s">
        <v>1544</v>
      </c>
      <c r="Y243" s="78" t="s">
        <v>1778</v>
      </c>
    </row>
    <row r="244" spans="1:25" x14ac:dyDescent="0.2">
      <c r="A244" s="70">
        <v>243</v>
      </c>
      <c r="B244" s="30" t="s">
        <v>1779</v>
      </c>
      <c r="C244" s="30" t="s">
        <v>1780</v>
      </c>
      <c r="D244" s="30" t="s">
        <v>199</v>
      </c>
      <c r="E244" s="30" t="s">
        <v>1781</v>
      </c>
      <c r="F244" s="30">
        <v>150</v>
      </c>
      <c r="G244" s="30">
        <v>300</v>
      </c>
      <c r="H244" s="30">
        <v>120</v>
      </c>
      <c r="I244" s="71">
        <v>10</v>
      </c>
      <c r="J244" s="30" t="s">
        <v>1782</v>
      </c>
      <c r="M244" s="32" t="b">
        <v>0</v>
      </c>
      <c r="N244" s="32" t="b">
        <v>0</v>
      </c>
      <c r="O244" s="30">
        <v>0</v>
      </c>
      <c r="P244" s="30" t="s">
        <v>666</v>
      </c>
      <c r="Q244" s="30" t="s">
        <v>1783</v>
      </c>
      <c r="R244" s="30" t="s">
        <v>43</v>
      </c>
      <c r="S244" s="30" t="s">
        <v>1542</v>
      </c>
      <c r="T244" s="72" t="s">
        <v>33</v>
      </c>
      <c r="U244" s="72" t="s">
        <v>33</v>
      </c>
      <c r="V244" s="72" t="s">
        <v>1470</v>
      </c>
      <c r="W244" s="30" t="s">
        <v>35</v>
      </c>
      <c r="X244" s="30" t="s">
        <v>1544</v>
      </c>
      <c r="Y244" s="73" t="s">
        <v>1784</v>
      </c>
    </row>
    <row r="245" spans="1:25" x14ac:dyDescent="0.2">
      <c r="A245" s="74">
        <v>244</v>
      </c>
      <c r="B245" s="21" t="s">
        <v>1785</v>
      </c>
      <c r="C245" s="21" t="s">
        <v>1786</v>
      </c>
      <c r="D245" s="21" t="s">
        <v>78</v>
      </c>
      <c r="E245" s="21" t="s">
        <v>1787</v>
      </c>
      <c r="F245" s="21">
        <v>175</v>
      </c>
      <c r="G245" s="21">
        <v>300</v>
      </c>
      <c r="H245" s="21">
        <v>120</v>
      </c>
      <c r="I245" s="75">
        <v>10</v>
      </c>
      <c r="J245" s="21" t="s">
        <v>1788</v>
      </c>
      <c r="K245" s="21" t="s">
        <v>1789</v>
      </c>
      <c r="M245" s="76" t="b">
        <v>0</v>
      </c>
      <c r="N245" s="76" t="b">
        <v>0</v>
      </c>
      <c r="O245" s="21">
        <v>0</v>
      </c>
      <c r="P245" s="21" t="s">
        <v>666</v>
      </c>
      <c r="R245" s="21" t="s">
        <v>72</v>
      </c>
      <c r="S245" s="21" t="s">
        <v>1542</v>
      </c>
      <c r="T245" s="77" t="s">
        <v>33</v>
      </c>
      <c r="U245" s="77" t="s">
        <v>33</v>
      </c>
      <c r="V245" s="77" t="s">
        <v>1470</v>
      </c>
      <c r="W245" s="21" t="s">
        <v>35</v>
      </c>
      <c r="X245" s="21" t="s">
        <v>1544</v>
      </c>
      <c r="Y245" s="78" t="s">
        <v>1790</v>
      </c>
    </row>
    <row r="246" spans="1:25" x14ac:dyDescent="0.2">
      <c r="A246" s="70">
        <v>245</v>
      </c>
      <c r="B246" s="30" t="s">
        <v>1791</v>
      </c>
      <c r="C246" s="30" t="s">
        <v>1792</v>
      </c>
      <c r="D246" s="30" t="s">
        <v>27</v>
      </c>
      <c r="E246" s="30" t="s">
        <v>1793</v>
      </c>
      <c r="F246" s="30">
        <v>200</v>
      </c>
      <c r="G246" s="30">
        <v>300</v>
      </c>
      <c r="H246" s="30">
        <v>60</v>
      </c>
      <c r="I246" s="71">
        <v>5</v>
      </c>
      <c r="J246" s="30" t="s">
        <v>1794</v>
      </c>
      <c r="K246" s="30" t="s">
        <v>1795</v>
      </c>
      <c r="L246" s="30" t="s">
        <v>1796</v>
      </c>
      <c r="M246" s="32" t="b">
        <v>0</v>
      </c>
      <c r="N246" s="32" t="b">
        <v>0</v>
      </c>
      <c r="O246" s="30">
        <v>0</v>
      </c>
      <c r="P246" s="30" t="s">
        <v>666</v>
      </c>
      <c r="Q246" s="30" t="s">
        <v>157</v>
      </c>
      <c r="R246" s="30" t="s">
        <v>366</v>
      </c>
      <c r="S246" s="30" t="s">
        <v>1542</v>
      </c>
      <c r="T246" s="72" t="s">
        <v>33</v>
      </c>
      <c r="U246" s="72" t="s">
        <v>33</v>
      </c>
      <c r="V246" s="72" t="s">
        <v>1470</v>
      </c>
      <c r="W246" s="30" t="s">
        <v>35</v>
      </c>
      <c r="X246" s="30" t="s">
        <v>1544</v>
      </c>
      <c r="Y246" s="73" t="s">
        <v>1797</v>
      </c>
    </row>
    <row r="247" spans="1:25" x14ac:dyDescent="0.2">
      <c r="A247" s="74">
        <v>246</v>
      </c>
      <c r="B247" s="21" t="s">
        <v>1798</v>
      </c>
      <c r="C247" s="21" t="s">
        <v>1798</v>
      </c>
      <c r="D247" s="21" t="s">
        <v>49</v>
      </c>
      <c r="E247" s="21" t="s">
        <v>1799</v>
      </c>
      <c r="F247" s="21">
        <v>100</v>
      </c>
      <c r="G247" s="21">
        <v>6000</v>
      </c>
      <c r="H247" s="21">
        <v>15</v>
      </c>
      <c r="I247" s="75">
        <v>15</v>
      </c>
      <c r="J247" s="21" t="s">
        <v>1800</v>
      </c>
      <c r="K247" s="21" t="s">
        <v>1801</v>
      </c>
      <c r="L247" s="21" t="s">
        <v>1802</v>
      </c>
      <c r="M247" s="76" t="b">
        <v>0</v>
      </c>
      <c r="N247" s="76" t="b">
        <v>0</v>
      </c>
      <c r="O247" s="21">
        <v>0</v>
      </c>
      <c r="P247" s="21" t="s">
        <v>666</v>
      </c>
      <c r="Q247" s="21" t="s">
        <v>344</v>
      </c>
      <c r="R247" s="21" t="s">
        <v>740</v>
      </c>
      <c r="S247" s="21" t="s">
        <v>1542</v>
      </c>
      <c r="T247" s="77" t="s">
        <v>33</v>
      </c>
      <c r="U247" s="77" t="s">
        <v>33</v>
      </c>
      <c r="V247" s="77" t="s">
        <v>1470</v>
      </c>
      <c r="W247" s="21" t="s">
        <v>54</v>
      </c>
      <c r="X247" s="21" t="s">
        <v>1544</v>
      </c>
      <c r="Y247" s="78" t="s">
        <v>1803</v>
      </c>
    </row>
    <row r="248" spans="1:25" x14ac:dyDescent="0.2">
      <c r="A248" s="70">
        <v>247</v>
      </c>
      <c r="B248" s="30" t="s">
        <v>1804</v>
      </c>
      <c r="C248" s="30" t="s">
        <v>1805</v>
      </c>
      <c r="D248" s="30" t="s">
        <v>356</v>
      </c>
      <c r="E248" s="30" t="s">
        <v>1806</v>
      </c>
      <c r="F248" s="30">
        <v>250</v>
      </c>
      <c r="G248" s="30">
        <v>300</v>
      </c>
      <c r="H248" s="30">
        <v>60</v>
      </c>
      <c r="I248" s="71">
        <v>5</v>
      </c>
      <c r="J248" s="30" t="s">
        <v>1807</v>
      </c>
      <c r="K248" s="30" t="s">
        <v>1808</v>
      </c>
      <c r="L248" s="30" t="s">
        <v>1809</v>
      </c>
      <c r="M248" s="32" t="b">
        <v>0</v>
      </c>
      <c r="N248" s="32" t="b">
        <v>0</v>
      </c>
      <c r="O248" s="30">
        <v>0</v>
      </c>
      <c r="P248" s="30" t="s">
        <v>666</v>
      </c>
      <c r="R248" s="30" t="s">
        <v>72</v>
      </c>
      <c r="S248" s="30" t="s">
        <v>1542</v>
      </c>
      <c r="T248" s="72" t="s">
        <v>33</v>
      </c>
      <c r="U248" s="72" t="s">
        <v>33</v>
      </c>
      <c r="V248" s="72" t="s">
        <v>1470</v>
      </c>
      <c r="W248" s="30" t="s">
        <v>35</v>
      </c>
      <c r="X248" s="30" t="s">
        <v>1544</v>
      </c>
      <c r="Y248" s="73" t="s">
        <v>1810</v>
      </c>
    </row>
    <row r="249" spans="1:25" x14ac:dyDescent="0.2">
      <c r="A249" s="74">
        <v>248</v>
      </c>
      <c r="B249" s="21" t="s">
        <v>1811</v>
      </c>
      <c r="C249" s="21" t="s">
        <v>1812</v>
      </c>
      <c r="D249" s="21" t="s">
        <v>78</v>
      </c>
      <c r="E249" s="21" t="s">
        <v>1813</v>
      </c>
      <c r="F249" s="21">
        <v>200</v>
      </c>
      <c r="G249" s="21">
        <v>300</v>
      </c>
      <c r="H249" s="21">
        <v>100</v>
      </c>
      <c r="I249" s="75">
        <v>5</v>
      </c>
      <c r="J249" s="21" t="s">
        <v>1814</v>
      </c>
      <c r="K249" s="21" t="s">
        <v>1815</v>
      </c>
      <c r="L249" s="21" t="s">
        <v>1816</v>
      </c>
      <c r="M249" s="76" t="b">
        <v>0</v>
      </c>
      <c r="N249" s="76" t="b">
        <v>0</v>
      </c>
      <c r="O249" s="21">
        <v>0</v>
      </c>
      <c r="P249" s="21" t="s">
        <v>666</v>
      </c>
      <c r="Q249" s="21" t="s">
        <v>1817</v>
      </c>
      <c r="R249" s="21" t="s">
        <v>72</v>
      </c>
      <c r="S249" s="21" t="s">
        <v>1542</v>
      </c>
      <c r="T249" s="77" t="s">
        <v>33</v>
      </c>
      <c r="U249" s="77" t="s">
        <v>33</v>
      </c>
      <c r="V249" s="77" t="s">
        <v>1470</v>
      </c>
      <c r="W249" s="21" t="s">
        <v>35</v>
      </c>
      <c r="X249" s="21" t="s">
        <v>1544</v>
      </c>
      <c r="Y249" s="78" t="s">
        <v>1818</v>
      </c>
    </row>
    <row r="250" spans="1:25" x14ac:dyDescent="0.2">
      <c r="A250" s="70">
        <v>249</v>
      </c>
      <c r="B250" s="30" t="s">
        <v>3279</v>
      </c>
      <c r="C250" s="30" t="s">
        <v>1820</v>
      </c>
      <c r="D250" s="30" t="s">
        <v>135</v>
      </c>
      <c r="E250" s="30" t="s">
        <v>1821</v>
      </c>
      <c r="F250" s="30">
        <v>225</v>
      </c>
      <c r="G250" s="30">
        <v>300</v>
      </c>
      <c r="H250" s="30">
        <v>36</v>
      </c>
      <c r="I250" s="71">
        <v>7.5</v>
      </c>
      <c r="J250" s="30" t="s">
        <v>1822</v>
      </c>
      <c r="L250" s="30" t="s">
        <v>1823</v>
      </c>
      <c r="M250" s="32" t="b">
        <v>0</v>
      </c>
      <c r="N250" s="32" t="b">
        <v>0</v>
      </c>
      <c r="O250" s="30">
        <v>0</v>
      </c>
      <c r="P250" s="30" t="s">
        <v>268</v>
      </c>
      <c r="R250" s="30" t="s">
        <v>366</v>
      </c>
      <c r="S250" s="30" t="s">
        <v>1737</v>
      </c>
      <c r="T250" s="72" t="s">
        <v>33</v>
      </c>
      <c r="U250" s="72" t="s">
        <v>33</v>
      </c>
      <c r="V250" s="72" t="s">
        <v>1470</v>
      </c>
      <c r="W250" s="30" t="s">
        <v>35</v>
      </c>
      <c r="X250" s="30" t="s">
        <v>1544</v>
      </c>
      <c r="Y250" s="73" t="s">
        <v>1824</v>
      </c>
    </row>
    <row r="251" spans="1:25" x14ac:dyDescent="0.2">
      <c r="A251" s="74">
        <v>250</v>
      </c>
      <c r="B251" s="21" t="s">
        <v>1825</v>
      </c>
      <c r="C251" s="21" t="s">
        <v>1826</v>
      </c>
      <c r="D251" s="21" t="s">
        <v>86</v>
      </c>
      <c r="E251" s="21" t="s">
        <v>1821</v>
      </c>
      <c r="F251" s="21">
        <v>175</v>
      </c>
      <c r="G251" s="21">
        <v>300</v>
      </c>
      <c r="H251" s="21">
        <v>36</v>
      </c>
      <c r="I251" s="75">
        <v>5</v>
      </c>
      <c r="J251" s="21" t="s">
        <v>1827</v>
      </c>
      <c r="M251" s="76" t="b">
        <v>0</v>
      </c>
      <c r="N251" s="76" t="b">
        <v>0</v>
      </c>
      <c r="O251" s="21">
        <v>0</v>
      </c>
      <c r="P251" s="21" t="s">
        <v>666</v>
      </c>
      <c r="Q251" s="21" t="s">
        <v>1828</v>
      </c>
      <c r="R251" s="21" t="s">
        <v>366</v>
      </c>
      <c r="S251" s="21" t="s">
        <v>1737</v>
      </c>
      <c r="T251" s="77" t="s">
        <v>33</v>
      </c>
      <c r="U251" s="77" t="s">
        <v>33</v>
      </c>
      <c r="V251" s="77" t="s">
        <v>1470</v>
      </c>
      <c r="W251" s="21" t="s">
        <v>35</v>
      </c>
      <c r="X251" s="21" t="s">
        <v>1544</v>
      </c>
      <c r="Y251" s="78" t="s">
        <v>1829</v>
      </c>
    </row>
    <row r="252" spans="1:25" x14ac:dyDescent="0.2">
      <c r="A252" s="70">
        <v>251</v>
      </c>
      <c r="B252" s="30" t="s">
        <v>1830</v>
      </c>
      <c r="C252" s="30" t="s">
        <v>1831</v>
      </c>
      <c r="D252" s="30" t="s">
        <v>68</v>
      </c>
      <c r="E252" s="30" t="s">
        <v>1832</v>
      </c>
      <c r="F252" s="30">
        <v>450</v>
      </c>
      <c r="G252" s="30">
        <v>300</v>
      </c>
      <c r="H252" s="30">
        <v>200</v>
      </c>
      <c r="I252" s="71">
        <v>10</v>
      </c>
      <c r="J252" s="30" t="s">
        <v>1833</v>
      </c>
      <c r="L252" s="30" t="s">
        <v>1834</v>
      </c>
      <c r="M252" s="32" t="b">
        <v>0</v>
      </c>
      <c r="N252" s="32" t="b">
        <v>0</v>
      </c>
      <c r="O252" s="30">
        <v>0</v>
      </c>
      <c r="P252" s="30" t="s">
        <v>180</v>
      </c>
      <c r="Q252" s="30" t="s">
        <v>226</v>
      </c>
      <c r="R252" s="30" t="s">
        <v>62</v>
      </c>
      <c r="S252" s="30" t="s">
        <v>1737</v>
      </c>
      <c r="T252" s="72" t="s">
        <v>3280</v>
      </c>
      <c r="U252" s="72" t="s">
        <v>3281</v>
      </c>
      <c r="V252" s="72" t="s">
        <v>1470</v>
      </c>
      <c r="W252" s="30" t="s">
        <v>35</v>
      </c>
      <c r="X252" s="30" t="s">
        <v>1663</v>
      </c>
      <c r="Y252" s="73" t="s">
        <v>1835</v>
      </c>
    </row>
    <row r="253" spans="1:25" x14ac:dyDescent="0.2">
      <c r="A253" s="74">
        <v>252</v>
      </c>
      <c r="B253" s="21" t="s">
        <v>1836</v>
      </c>
      <c r="C253" s="21" t="s">
        <v>1837</v>
      </c>
      <c r="D253" s="21" t="s">
        <v>105</v>
      </c>
      <c r="E253" s="21" t="s">
        <v>1838</v>
      </c>
      <c r="F253" s="21">
        <v>150</v>
      </c>
      <c r="G253" s="21">
        <v>4000</v>
      </c>
      <c r="H253" s="21">
        <v>210</v>
      </c>
      <c r="I253" s="75">
        <v>20</v>
      </c>
      <c r="J253" s="21" t="s">
        <v>1839</v>
      </c>
      <c r="K253" s="21" t="s">
        <v>1840</v>
      </c>
      <c r="M253" s="76" t="b">
        <v>0</v>
      </c>
      <c r="N253" s="76" t="b">
        <v>0</v>
      </c>
      <c r="O253" s="21">
        <v>0</v>
      </c>
      <c r="P253" s="21" t="s">
        <v>180</v>
      </c>
      <c r="Q253" s="21" t="s">
        <v>157</v>
      </c>
      <c r="R253" s="21" t="s">
        <v>270</v>
      </c>
      <c r="S253" s="21" t="s">
        <v>1737</v>
      </c>
      <c r="T253" s="77" t="s">
        <v>33</v>
      </c>
      <c r="U253" s="77" t="s">
        <v>33</v>
      </c>
      <c r="V253" s="77" t="s">
        <v>1470</v>
      </c>
      <c r="W253" s="21" t="s">
        <v>54</v>
      </c>
      <c r="X253" s="21" t="s">
        <v>1544</v>
      </c>
      <c r="Y253" s="78" t="s">
        <v>1841</v>
      </c>
    </row>
    <row r="254" spans="1:25" x14ac:dyDescent="0.2">
      <c r="A254" s="70">
        <v>253</v>
      </c>
      <c r="B254" s="30" t="s">
        <v>1842</v>
      </c>
      <c r="C254" s="30" t="s">
        <v>1843</v>
      </c>
      <c r="D254" s="30" t="s">
        <v>27</v>
      </c>
      <c r="E254" s="30" t="s">
        <v>1844</v>
      </c>
      <c r="F254" s="30">
        <v>325</v>
      </c>
      <c r="G254" s="30">
        <v>300</v>
      </c>
      <c r="H254" s="30">
        <v>45</v>
      </c>
      <c r="I254" s="71">
        <v>5</v>
      </c>
      <c r="J254" s="30" t="s">
        <v>1845</v>
      </c>
      <c r="K254" s="30" t="s">
        <v>1846</v>
      </c>
      <c r="M254" s="32" t="b">
        <v>0</v>
      </c>
      <c r="N254" s="32" t="b">
        <v>0</v>
      </c>
      <c r="O254" s="30">
        <v>0</v>
      </c>
      <c r="P254" s="30" t="s">
        <v>122</v>
      </c>
      <c r="R254" s="30" t="s">
        <v>130</v>
      </c>
      <c r="S254" s="30" t="s">
        <v>1737</v>
      </c>
      <c r="T254" s="72" t="s">
        <v>33</v>
      </c>
      <c r="U254" s="72" t="s">
        <v>33</v>
      </c>
      <c r="V254" s="72" t="s">
        <v>1470</v>
      </c>
      <c r="W254" s="30" t="s">
        <v>111</v>
      </c>
      <c r="X254" s="30" t="s">
        <v>1544</v>
      </c>
      <c r="Y254" s="73" t="s">
        <v>1847</v>
      </c>
    </row>
    <row r="255" spans="1:25" x14ac:dyDescent="0.2">
      <c r="A255" s="74">
        <v>254</v>
      </c>
      <c r="B255" s="21" t="s">
        <v>1848</v>
      </c>
      <c r="C255" s="21" t="s">
        <v>1849</v>
      </c>
      <c r="D255" s="21" t="s">
        <v>59</v>
      </c>
      <c r="E255" s="21" t="s">
        <v>1850</v>
      </c>
      <c r="F255" s="21">
        <v>50</v>
      </c>
      <c r="G255" s="21">
        <v>300</v>
      </c>
      <c r="H255" s="21">
        <v>1800</v>
      </c>
      <c r="I255" s="75">
        <v>5</v>
      </c>
      <c r="J255" s="21" t="s">
        <v>1851</v>
      </c>
      <c r="M255" s="76" t="b">
        <v>1</v>
      </c>
      <c r="N255" s="76" t="b">
        <v>0</v>
      </c>
      <c r="O255" s="21">
        <v>0</v>
      </c>
      <c r="P255" s="21" t="s">
        <v>180</v>
      </c>
      <c r="Q255" s="21" t="s">
        <v>603</v>
      </c>
      <c r="R255" s="21" t="s">
        <v>72</v>
      </c>
      <c r="S255" s="21" t="s">
        <v>1737</v>
      </c>
      <c r="T255" s="77" t="s">
        <v>33</v>
      </c>
      <c r="U255" s="77" t="s">
        <v>33</v>
      </c>
      <c r="V255" s="77" t="s">
        <v>1470</v>
      </c>
      <c r="W255" s="21" t="s">
        <v>11</v>
      </c>
      <c r="X255" s="21" t="s">
        <v>1544</v>
      </c>
      <c r="Y255" s="78" t="s">
        <v>1852</v>
      </c>
    </row>
    <row r="256" spans="1:25" x14ac:dyDescent="0.2">
      <c r="A256" s="70">
        <v>255</v>
      </c>
      <c r="B256" s="30" t="s">
        <v>1853</v>
      </c>
      <c r="C256" s="30" t="s">
        <v>1854</v>
      </c>
      <c r="D256" s="30" t="s">
        <v>49</v>
      </c>
      <c r="E256" s="30" t="s">
        <v>1855</v>
      </c>
      <c r="F256" s="30">
        <v>175</v>
      </c>
      <c r="G256" s="30">
        <v>300</v>
      </c>
      <c r="H256" s="30">
        <v>6</v>
      </c>
      <c r="I256" s="71">
        <v>25</v>
      </c>
      <c r="J256" s="30" t="s">
        <v>1856</v>
      </c>
      <c r="L256" s="30" t="s">
        <v>1857</v>
      </c>
      <c r="M256" s="32" t="b">
        <v>0</v>
      </c>
      <c r="N256" s="32" t="b">
        <v>0</v>
      </c>
      <c r="O256" s="30">
        <v>0</v>
      </c>
      <c r="P256" s="30" t="s">
        <v>180</v>
      </c>
      <c r="Q256" s="30" t="s">
        <v>1010</v>
      </c>
      <c r="R256" s="30" t="s">
        <v>52</v>
      </c>
      <c r="S256" s="30" t="s">
        <v>1737</v>
      </c>
      <c r="T256" s="72" t="s">
        <v>33</v>
      </c>
      <c r="U256" s="72" t="s">
        <v>33</v>
      </c>
      <c r="V256" s="72" t="s">
        <v>1470</v>
      </c>
      <c r="W256" s="30" t="s">
        <v>54</v>
      </c>
      <c r="X256" s="30" t="s">
        <v>1544</v>
      </c>
      <c r="Y256" s="73" t="s">
        <v>1858</v>
      </c>
    </row>
    <row r="257" spans="1:25" x14ac:dyDescent="0.2">
      <c r="A257" s="74">
        <v>256</v>
      </c>
      <c r="B257" s="21" t="s">
        <v>1859</v>
      </c>
      <c r="C257" s="21" t="s">
        <v>1860</v>
      </c>
      <c r="D257" s="21" t="s">
        <v>49</v>
      </c>
      <c r="E257" s="21" t="s">
        <v>1861</v>
      </c>
      <c r="F257" s="21">
        <v>75</v>
      </c>
      <c r="G257" s="21">
        <v>4000</v>
      </c>
      <c r="H257" s="21">
        <v>0</v>
      </c>
      <c r="I257" s="75">
        <v>20</v>
      </c>
      <c r="J257" s="21" t="s">
        <v>1862</v>
      </c>
      <c r="L257" s="21" t="s">
        <v>1863</v>
      </c>
      <c r="M257" s="76" t="b">
        <v>0</v>
      </c>
      <c r="N257" s="76" t="b">
        <v>0</v>
      </c>
      <c r="O257" s="21">
        <v>0</v>
      </c>
      <c r="P257" s="21" t="s">
        <v>122</v>
      </c>
      <c r="Q257" s="21" t="s">
        <v>344</v>
      </c>
      <c r="R257" s="21" t="s">
        <v>72</v>
      </c>
      <c r="S257" s="21" t="s">
        <v>1737</v>
      </c>
      <c r="T257" s="77" t="s">
        <v>33</v>
      </c>
      <c r="U257" s="77" t="s">
        <v>33</v>
      </c>
      <c r="V257" s="77" t="s">
        <v>1470</v>
      </c>
      <c r="W257" s="21" t="s">
        <v>54</v>
      </c>
      <c r="X257" s="21" t="s">
        <v>1544</v>
      </c>
      <c r="Y257" s="78" t="s">
        <v>1864</v>
      </c>
    </row>
    <row r="258" spans="1:25" x14ac:dyDescent="0.2">
      <c r="A258" s="70">
        <v>257</v>
      </c>
      <c r="B258" s="30" t="s">
        <v>1865</v>
      </c>
      <c r="C258" s="30" t="s">
        <v>1866</v>
      </c>
      <c r="D258" s="30" t="s">
        <v>78</v>
      </c>
      <c r="E258" s="30" t="s">
        <v>1867</v>
      </c>
      <c r="F258" s="30">
        <v>175</v>
      </c>
      <c r="G258" s="30">
        <v>300</v>
      </c>
      <c r="H258" s="30">
        <v>50</v>
      </c>
      <c r="I258" s="71">
        <v>15</v>
      </c>
      <c r="J258" s="30" t="s">
        <v>1868</v>
      </c>
      <c r="L258" s="30" t="s">
        <v>1869</v>
      </c>
      <c r="M258" s="32" t="b">
        <v>0</v>
      </c>
      <c r="N258" s="32" t="b">
        <v>0</v>
      </c>
      <c r="O258" s="30">
        <v>0</v>
      </c>
      <c r="P258" s="30" t="s">
        <v>666</v>
      </c>
      <c r="Q258" s="30" t="s">
        <v>1870</v>
      </c>
      <c r="R258" s="30" t="s">
        <v>366</v>
      </c>
      <c r="S258" s="30" t="s">
        <v>1737</v>
      </c>
      <c r="T258" s="72" t="s">
        <v>33</v>
      </c>
      <c r="U258" s="72" t="s">
        <v>33</v>
      </c>
      <c r="V258" s="72" t="s">
        <v>1470</v>
      </c>
      <c r="W258" s="30" t="s">
        <v>35</v>
      </c>
      <c r="X258" s="30" t="s">
        <v>1544</v>
      </c>
      <c r="Y258" s="73" t="s">
        <v>1871</v>
      </c>
    </row>
    <row r="259" spans="1:25" x14ac:dyDescent="0.2">
      <c r="A259" s="74">
        <v>258</v>
      </c>
      <c r="B259" s="21" t="s">
        <v>1872</v>
      </c>
      <c r="C259" s="21" t="s">
        <v>1873</v>
      </c>
      <c r="D259" s="21" t="s">
        <v>68</v>
      </c>
      <c r="E259" s="21" t="s">
        <v>1874</v>
      </c>
      <c r="F259" s="21">
        <v>425</v>
      </c>
      <c r="G259" s="21">
        <v>300</v>
      </c>
      <c r="H259" s="21">
        <v>500</v>
      </c>
      <c r="I259" s="75">
        <v>15</v>
      </c>
      <c r="J259" s="21" t="s">
        <v>1875</v>
      </c>
      <c r="M259" s="76" t="b">
        <v>0</v>
      </c>
      <c r="N259" s="76" t="b">
        <v>0</v>
      </c>
      <c r="O259" s="21">
        <v>0</v>
      </c>
      <c r="P259" s="21" t="s">
        <v>180</v>
      </c>
      <c r="Q259" s="21" t="s">
        <v>226</v>
      </c>
      <c r="R259" s="21" t="s">
        <v>62</v>
      </c>
      <c r="S259" s="21" t="s">
        <v>1737</v>
      </c>
      <c r="T259" s="77" t="s">
        <v>33</v>
      </c>
      <c r="U259" s="77" t="s">
        <v>3282</v>
      </c>
      <c r="V259" s="77" t="s">
        <v>1876</v>
      </c>
      <c r="W259" s="21" t="s">
        <v>35</v>
      </c>
      <c r="X259" s="21" t="s">
        <v>1544</v>
      </c>
      <c r="Y259" s="78" t="s">
        <v>1877</v>
      </c>
    </row>
    <row r="260" spans="1:25" x14ac:dyDescent="0.2">
      <c r="A260" s="70">
        <v>259</v>
      </c>
      <c r="B260" s="30" t="s">
        <v>1878</v>
      </c>
      <c r="C260" s="30" t="s">
        <v>1879</v>
      </c>
      <c r="D260" s="30" t="s">
        <v>356</v>
      </c>
      <c r="E260" s="30" t="s">
        <v>1880</v>
      </c>
      <c r="F260" s="30">
        <v>250</v>
      </c>
      <c r="G260" s="30">
        <v>300</v>
      </c>
      <c r="H260" s="30">
        <v>0</v>
      </c>
      <c r="I260" s="71">
        <v>7.5</v>
      </c>
      <c r="J260" s="30" t="s">
        <v>1881</v>
      </c>
      <c r="M260" s="32" t="b">
        <v>0</v>
      </c>
      <c r="N260" s="32" t="b">
        <v>0</v>
      </c>
      <c r="O260" s="30">
        <v>0</v>
      </c>
      <c r="P260" s="30" t="s">
        <v>180</v>
      </c>
      <c r="Q260" s="30" t="s">
        <v>157</v>
      </c>
      <c r="R260" s="30" t="s">
        <v>270</v>
      </c>
      <c r="S260" s="30" t="s">
        <v>1737</v>
      </c>
      <c r="T260" s="72" t="s">
        <v>33</v>
      </c>
      <c r="U260" s="72" t="s">
        <v>33</v>
      </c>
      <c r="V260" s="72" t="s">
        <v>1470</v>
      </c>
      <c r="W260" s="30" t="s">
        <v>35</v>
      </c>
      <c r="X260" s="30" t="s">
        <v>1544</v>
      </c>
      <c r="Y260" s="73" t="s">
        <v>1882</v>
      </c>
    </row>
    <row r="261" spans="1:25" x14ac:dyDescent="0.2">
      <c r="A261" s="74">
        <v>260</v>
      </c>
      <c r="B261" s="21" t="s">
        <v>1883</v>
      </c>
      <c r="C261" s="21" t="s">
        <v>1884</v>
      </c>
      <c r="D261" s="21" t="s">
        <v>356</v>
      </c>
      <c r="E261" s="21" t="s">
        <v>1885</v>
      </c>
      <c r="F261" s="21">
        <v>125</v>
      </c>
      <c r="G261" s="21">
        <v>300</v>
      </c>
      <c r="H261" s="21">
        <v>0</v>
      </c>
      <c r="I261" s="75">
        <v>10</v>
      </c>
      <c r="J261" s="21" t="s">
        <v>1886</v>
      </c>
      <c r="K261" s="21" t="s">
        <v>1887</v>
      </c>
      <c r="M261" s="76" t="b">
        <v>0</v>
      </c>
      <c r="N261" s="76" t="b">
        <v>0</v>
      </c>
      <c r="O261" s="21">
        <v>100</v>
      </c>
      <c r="P261" s="21" t="s">
        <v>268</v>
      </c>
      <c r="Q261" s="21" t="s">
        <v>1888</v>
      </c>
      <c r="R261" s="21" t="s">
        <v>43</v>
      </c>
      <c r="S261" s="21" t="s">
        <v>1737</v>
      </c>
      <c r="T261" s="77" t="s">
        <v>33</v>
      </c>
      <c r="U261" s="77" t="s">
        <v>33</v>
      </c>
      <c r="V261" s="77" t="s">
        <v>1470</v>
      </c>
      <c r="W261" s="21" t="s">
        <v>45</v>
      </c>
      <c r="X261" s="21" t="s">
        <v>1544</v>
      </c>
      <c r="Y261" s="78" t="s">
        <v>1889</v>
      </c>
    </row>
    <row r="262" spans="1:25" x14ac:dyDescent="0.2">
      <c r="A262" s="70">
        <v>261</v>
      </c>
      <c r="B262" s="30" t="s">
        <v>1890</v>
      </c>
      <c r="C262" s="30" t="s">
        <v>1891</v>
      </c>
      <c r="D262" s="30" t="s">
        <v>86</v>
      </c>
      <c r="E262" s="30" t="s">
        <v>1892</v>
      </c>
      <c r="F262" s="30">
        <v>175</v>
      </c>
      <c r="G262" s="30">
        <v>300</v>
      </c>
      <c r="H262" s="30">
        <v>240</v>
      </c>
      <c r="I262" s="71">
        <v>5</v>
      </c>
      <c r="J262" s="30" t="s">
        <v>1893</v>
      </c>
      <c r="M262" s="32" t="b">
        <v>0</v>
      </c>
      <c r="N262" s="32" t="b">
        <v>0</v>
      </c>
      <c r="O262" s="30">
        <v>0</v>
      </c>
      <c r="P262" s="30" t="s">
        <v>180</v>
      </c>
      <c r="Q262" s="30" t="s">
        <v>1894</v>
      </c>
      <c r="R262" s="30" t="s">
        <v>72</v>
      </c>
      <c r="S262" s="30" t="s">
        <v>1737</v>
      </c>
      <c r="T262" s="72" t="s">
        <v>33</v>
      </c>
      <c r="U262" s="72" t="s">
        <v>33</v>
      </c>
      <c r="V262" s="72" t="s">
        <v>1470</v>
      </c>
      <c r="W262" s="30" t="s">
        <v>35</v>
      </c>
      <c r="X262" s="30" t="s">
        <v>1544</v>
      </c>
      <c r="Y262" s="73" t="s">
        <v>1895</v>
      </c>
    </row>
    <row r="263" spans="1:25" x14ac:dyDescent="0.2">
      <c r="A263" s="74">
        <v>262</v>
      </c>
      <c r="B263" s="21" t="s">
        <v>1896</v>
      </c>
      <c r="C263" s="21" t="s">
        <v>1896</v>
      </c>
      <c r="D263" s="21" t="s">
        <v>105</v>
      </c>
      <c r="E263" s="21" t="s">
        <v>1897</v>
      </c>
      <c r="F263" s="21">
        <v>325</v>
      </c>
      <c r="G263" s="21">
        <v>300</v>
      </c>
      <c r="H263" s="21">
        <v>200</v>
      </c>
      <c r="I263" s="75">
        <v>7.5</v>
      </c>
      <c r="J263" s="21" t="s">
        <v>1898</v>
      </c>
      <c r="K263" s="21" t="s">
        <v>1899</v>
      </c>
      <c r="L263" s="21" t="s">
        <v>1900</v>
      </c>
      <c r="M263" s="76" t="b">
        <v>0</v>
      </c>
      <c r="N263" s="76" t="b">
        <v>0</v>
      </c>
      <c r="O263" s="21">
        <v>0</v>
      </c>
      <c r="P263" s="21" t="s">
        <v>180</v>
      </c>
      <c r="Q263" s="21" t="s">
        <v>226</v>
      </c>
      <c r="R263" s="21" t="s">
        <v>72</v>
      </c>
      <c r="S263" s="21" t="s">
        <v>1737</v>
      </c>
      <c r="T263" s="77" t="s">
        <v>33</v>
      </c>
      <c r="U263" s="77" t="s">
        <v>33</v>
      </c>
      <c r="V263" s="77" t="s">
        <v>1470</v>
      </c>
      <c r="W263" s="21" t="s">
        <v>111</v>
      </c>
      <c r="X263" s="21" t="s">
        <v>1544</v>
      </c>
      <c r="Y263" s="78" t="s">
        <v>1901</v>
      </c>
    </row>
    <row r="264" spans="1:25" x14ac:dyDescent="0.2">
      <c r="A264" s="70">
        <v>263</v>
      </c>
      <c r="B264" s="30" t="s">
        <v>1902</v>
      </c>
      <c r="C264" s="30" t="s">
        <v>1903</v>
      </c>
      <c r="D264" s="30" t="s">
        <v>78</v>
      </c>
      <c r="E264" s="30" t="s">
        <v>1904</v>
      </c>
      <c r="F264" s="30">
        <v>200</v>
      </c>
      <c r="G264" s="30">
        <v>300</v>
      </c>
      <c r="H264" s="30">
        <v>60</v>
      </c>
      <c r="I264" s="71">
        <v>5</v>
      </c>
      <c r="J264" s="30" t="s">
        <v>1905</v>
      </c>
      <c r="L264" s="30" t="s">
        <v>1906</v>
      </c>
      <c r="M264" s="32" t="b">
        <v>0</v>
      </c>
      <c r="N264" s="32" t="b">
        <v>0</v>
      </c>
      <c r="O264" s="30">
        <v>0</v>
      </c>
      <c r="P264" s="30" t="s">
        <v>268</v>
      </c>
      <c r="Q264" s="30" t="s">
        <v>1907</v>
      </c>
      <c r="R264" s="30" t="s">
        <v>130</v>
      </c>
      <c r="S264" s="30" t="s">
        <v>1737</v>
      </c>
      <c r="T264" s="72" t="s">
        <v>33</v>
      </c>
      <c r="U264" s="72" t="s">
        <v>33</v>
      </c>
      <c r="V264" s="72" t="s">
        <v>1470</v>
      </c>
      <c r="W264" s="30" t="s">
        <v>35</v>
      </c>
      <c r="X264" s="30" t="s">
        <v>1544</v>
      </c>
      <c r="Y264" s="73" t="s">
        <v>1908</v>
      </c>
    </row>
    <row r="265" spans="1:25" x14ac:dyDescent="0.2">
      <c r="A265" s="74">
        <v>264</v>
      </c>
      <c r="B265" s="21" t="s">
        <v>1909</v>
      </c>
      <c r="C265" s="21" t="s">
        <v>1910</v>
      </c>
      <c r="D265" s="21" t="s">
        <v>78</v>
      </c>
      <c r="E265" s="21" t="s">
        <v>1911</v>
      </c>
      <c r="F265" s="21">
        <v>225</v>
      </c>
      <c r="G265" s="21">
        <v>300</v>
      </c>
      <c r="H265" s="21">
        <v>60</v>
      </c>
      <c r="I265" s="75">
        <v>7.5</v>
      </c>
      <c r="J265" s="21" t="s">
        <v>1912</v>
      </c>
      <c r="L265" s="21" t="s">
        <v>1913</v>
      </c>
      <c r="M265" s="76" t="b">
        <v>0</v>
      </c>
      <c r="N265" s="76" t="b">
        <v>0</v>
      </c>
      <c r="O265" s="21">
        <v>0</v>
      </c>
      <c r="P265" s="21" t="s">
        <v>180</v>
      </c>
      <c r="R265" s="21" t="s">
        <v>740</v>
      </c>
      <c r="S265" s="21" t="s">
        <v>1737</v>
      </c>
      <c r="T265" s="77" t="s">
        <v>33</v>
      </c>
      <c r="U265" s="77" t="s">
        <v>33</v>
      </c>
      <c r="V265" s="77" t="s">
        <v>1470</v>
      </c>
      <c r="W265" s="21" t="s">
        <v>35</v>
      </c>
      <c r="X265" s="21" t="s">
        <v>1544</v>
      </c>
      <c r="Y265" s="78" t="s">
        <v>1914</v>
      </c>
    </row>
    <row r="266" spans="1:25" x14ac:dyDescent="0.2">
      <c r="A266" s="70">
        <v>265</v>
      </c>
      <c r="B266" s="30" t="s">
        <v>1915</v>
      </c>
      <c r="C266" s="30" t="s">
        <v>1916</v>
      </c>
      <c r="D266" s="30" t="s">
        <v>135</v>
      </c>
      <c r="E266" s="30" t="s">
        <v>1917</v>
      </c>
      <c r="F266" s="30">
        <v>150</v>
      </c>
      <c r="G266" s="30">
        <v>300</v>
      </c>
      <c r="H266" s="30">
        <v>50</v>
      </c>
      <c r="I266" s="71">
        <v>5</v>
      </c>
      <c r="J266" s="30" t="s">
        <v>1918</v>
      </c>
      <c r="M266" s="32" t="b">
        <v>0</v>
      </c>
      <c r="N266" s="32" t="b">
        <v>0</v>
      </c>
      <c r="O266" s="30">
        <v>0</v>
      </c>
      <c r="P266" s="30" t="s">
        <v>180</v>
      </c>
      <c r="Q266" s="30" t="s">
        <v>1919</v>
      </c>
      <c r="R266" s="30" t="s">
        <v>130</v>
      </c>
      <c r="S266" s="30" t="s">
        <v>1737</v>
      </c>
      <c r="T266" s="72" t="s">
        <v>33</v>
      </c>
      <c r="U266" s="72" t="s">
        <v>33</v>
      </c>
      <c r="V266" s="72" t="s">
        <v>1470</v>
      </c>
      <c r="W266" s="30" t="s">
        <v>35</v>
      </c>
      <c r="X266" s="30" t="s">
        <v>1544</v>
      </c>
      <c r="Y266" s="73" t="s">
        <v>1920</v>
      </c>
    </row>
    <row r="267" spans="1:25" x14ac:dyDescent="0.2">
      <c r="A267" s="74">
        <v>266</v>
      </c>
      <c r="B267" s="21" t="s">
        <v>1921</v>
      </c>
      <c r="C267" s="21" t="s">
        <v>1922</v>
      </c>
      <c r="D267" s="21" t="s">
        <v>27</v>
      </c>
      <c r="E267" s="21" t="s">
        <v>1923</v>
      </c>
      <c r="F267" s="21">
        <v>225</v>
      </c>
      <c r="G267" s="21">
        <v>300</v>
      </c>
      <c r="H267" s="21">
        <v>35</v>
      </c>
      <c r="I267" s="75">
        <v>7.5</v>
      </c>
      <c r="J267" s="21" t="s">
        <v>1924</v>
      </c>
      <c r="K267" s="21" t="s">
        <v>1925</v>
      </c>
      <c r="M267" s="76" t="b">
        <v>0</v>
      </c>
      <c r="N267" s="76" t="b">
        <v>0</v>
      </c>
      <c r="O267" s="21">
        <v>0</v>
      </c>
      <c r="P267" s="21" t="s">
        <v>666</v>
      </c>
      <c r="Q267" s="21" t="s">
        <v>226</v>
      </c>
      <c r="R267" s="21" t="s">
        <v>130</v>
      </c>
      <c r="S267" s="21" t="s">
        <v>1737</v>
      </c>
      <c r="T267" s="77" t="s">
        <v>33</v>
      </c>
      <c r="U267" s="77" t="s">
        <v>33</v>
      </c>
      <c r="V267" s="77" t="s">
        <v>1470</v>
      </c>
      <c r="W267" s="21" t="s">
        <v>35</v>
      </c>
      <c r="X267" s="21" t="s">
        <v>1544</v>
      </c>
      <c r="Y267" s="78" t="s">
        <v>1926</v>
      </c>
    </row>
    <row r="268" spans="1:25" x14ac:dyDescent="0.2">
      <c r="A268" s="70">
        <v>267</v>
      </c>
      <c r="B268" s="30" t="s">
        <v>1927</v>
      </c>
      <c r="C268" s="30" t="s">
        <v>1928</v>
      </c>
      <c r="D268" s="30" t="s">
        <v>27</v>
      </c>
      <c r="E268" s="30" t="s">
        <v>1929</v>
      </c>
      <c r="F268" s="30">
        <v>375</v>
      </c>
      <c r="G268" s="30">
        <v>300</v>
      </c>
      <c r="H268" s="30">
        <v>20</v>
      </c>
      <c r="I268" s="71">
        <v>5</v>
      </c>
      <c r="J268" s="30" t="s">
        <v>1930</v>
      </c>
      <c r="M268" s="32" t="b">
        <v>0</v>
      </c>
      <c r="N268" s="32" t="b">
        <v>0</v>
      </c>
      <c r="O268" s="30">
        <v>0</v>
      </c>
      <c r="P268" s="30" t="s">
        <v>666</v>
      </c>
      <c r="R268" s="30" t="s">
        <v>31</v>
      </c>
      <c r="S268" s="30" t="s">
        <v>1737</v>
      </c>
      <c r="T268" s="72" t="s">
        <v>33</v>
      </c>
      <c r="U268" s="72" t="s">
        <v>33</v>
      </c>
      <c r="V268" s="72" t="s">
        <v>1470</v>
      </c>
      <c r="W268" s="30" t="s">
        <v>35</v>
      </c>
      <c r="X268" s="30" t="s">
        <v>1931</v>
      </c>
      <c r="Y268" s="73" t="s">
        <v>1932</v>
      </c>
    </row>
    <row r="269" spans="1:25" x14ac:dyDescent="0.2">
      <c r="A269" s="74">
        <v>268</v>
      </c>
      <c r="B269" s="21" t="s">
        <v>1933</v>
      </c>
      <c r="C269" s="21" t="s">
        <v>1934</v>
      </c>
      <c r="D269" s="21" t="s">
        <v>135</v>
      </c>
      <c r="E269" s="21" t="s">
        <v>1935</v>
      </c>
      <c r="F269" s="21">
        <v>255</v>
      </c>
      <c r="G269" s="21">
        <v>300</v>
      </c>
      <c r="H269" s="21">
        <v>15</v>
      </c>
      <c r="I269" s="75">
        <v>5</v>
      </c>
      <c r="J269" s="21" t="s">
        <v>1936</v>
      </c>
      <c r="K269" s="21" t="s">
        <v>1840</v>
      </c>
      <c r="L269" s="21" t="s">
        <v>1937</v>
      </c>
      <c r="M269" s="76" t="b">
        <v>0</v>
      </c>
      <c r="N269" s="76" t="b">
        <v>0</v>
      </c>
      <c r="O269" s="21">
        <v>0</v>
      </c>
      <c r="P269" s="21" t="s">
        <v>268</v>
      </c>
      <c r="R269" s="21" t="s">
        <v>43</v>
      </c>
      <c r="S269" s="21" t="s">
        <v>1737</v>
      </c>
      <c r="T269" s="77" t="s">
        <v>33</v>
      </c>
      <c r="U269" s="77" t="s">
        <v>33</v>
      </c>
      <c r="V269" s="77" t="s">
        <v>1470</v>
      </c>
      <c r="W269" s="21" t="s">
        <v>111</v>
      </c>
      <c r="X269" s="21" t="s">
        <v>1544</v>
      </c>
      <c r="Y269" s="78" t="s">
        <v>1938</v>
      </c>
    </row>
    <row r="270" spans="1:25" x14ac:dyDescent="0.2">
      <c r="A270" s="70">
        <v>269</v>
      </c>
      <c r="B270" s="30" t="s">
        <v>1939</v>
      </c>
      <c r="C270" s="30" t="s">
        <v>1940</v>
      </c>
      <c r="D270" s="30" t="s">
        <v>135</v>
      </c>
      <c r="E270" s="30" t="s">
        <v>1941</v>
      </c>
      <c r="F270" s="30">
        <v>450</v>
      </c>
      <c r="G270" s="30">
        <v>300</v>
      </c>
      <c r="H270" s="30">
        <v>100</v>
      </c>
      <c r="I270" s="71">
        <v>7.5</v>
      </c>
      <c r="J270" s="30" t="s">
        <v>1942</v>
      </c>
      <c r="L270" s="30" t="s">
        <v>1943</v>
      </c>
      <c r="M270" s="32" t="b">
        <v>0</v>
      </c>
      <c r="N270" s="32" t="b">
        <v>0</v>
      </c>
      <c r="O270" s="30">
        <v>0</v>
      </c>
      <c r="P270" s="30" t="s">
        <v>666</v>
      </c>
      <c r="Q270" s="30" t="s">
        <v>226</v>
      </c>
      <c r="R270" s="30" t="s">
        <v>43</v>
      </c>
      <c r="S270" s="30" t="s">
        <v>1737</v>
      </c>
      <c r="T270" s="72" t="s">
        <v>33</v>
      </c>
      <c r="U270" s="72" t="s">
        <v>33</v>
      </c>
      <c r="V270" s="72" t="s">
        <v>1470</v>
      </c>
      <c r="W270" s="30" t="s">
        <v>35</v>
      </c>
      <c r="X270" s="30" t="s">
        <v>1544</v>
      </c>
      <c r="Y270" s="73" t="s">
        <v>1944</v>
      </c>
    </row>
    <row r="271" spans="1:25" x14ac:dyDescent="0.2">
      <c r="A271" s="74">
        <v>270</v>
      </c>
      <c r="B271" s="21" t="s">
        <v>1945</v>
      </c>
      <c r="C271" s="21" t="s">
        <v>1946</v>
      </c>
      <c r="D271" s="21" t="s">
        <v>78</v>
      </c>
      <c r="E271" s="21" t="s">
        <v>1947</v>
      </c>
      <c r="F271" s="21">
        <v>325</v>
      </c>
      <c r="G271" s="21">
        <v>300</v>
      </c>
      <c r="H271" s="21">
        <v>45</v>
      </c>
      <c r="I271" s="75">
        <v>7.5</v>
      </c>
      <c r="J271" s="21" t="s">
        <v>1948</v>
      </c>
      <c r="L271" s="21" t="s">
        <v>1949</v>
      </c>
      <c r="M271" s="76" t="b">
        <v>0</v>
      </c>
      <c r="N271" s="76" t="b">
        <v>0</v>
      </c>
      <c r="O271" s="21">
        <v>0</v>
      </c>
      <c r="P271" s="21" t="s">
        <v>666</v>
      </c>
      <c r="Q271" s="21" t="s">
        <v>476</v>
      </c>
      <c r="R271" s="21" t="s">
        <v>72</v>
      </c>
      <c r="S271" s="21" t="s">
        <v>1737</v>
      </c>
      <c r="T271" s="77" t="s">
        <v>33</v>
      </c>
      <c r="U271" s="77" t="s">
        <v>33</v>
      </c>
      <c r="V271" s="77" t="s">
        <v>1470</v>
      </c>
      <c r="W271" s="21" t="s">
        <v>35</v>
      </c>
      <c r="X271" s="21" t="s">
        <v>1580</v>
      </c>
      <c r="Y271" s="78" t="s">
        <v>1950</v>
      </c>
    </row>
    <row r="272" spans="1:25" x14ac:dyDescent="0.2">
      <c r="A272" s="70">
        <v>271</v>
      </c>
      <c r="B272" s="30" t="s">
        <v>1951</v>
      </c>
      <c r="C272" s="30" t="s">
        <v>1952</v>
      </c>
      <c r="D272" s="30" t="s">
        <v>68</v>
      </c>
      <c r="E272" s="30" t="s">
        <v>1953</v>
      </c>
      <c r="F272" s="30">
        <v>500</v>
      </c>
      <c r="G272" s="30">
        <v>300</v>
      </c>
      <c r="H272" s="30">
        <v>1200</v>
      </c>
      <c r="I272" s="71">
        <v>10</v>
      </c>
      <c r="J272" s="30" t="s">
        <v>1954</v>
      </c>
      <c r="K272" s="30" t="s">
        <v>1955</v>
      </c>
      <c r="L272" s="30" t="s">
        <v>1956</v>
      </c>
      <c r="M272" s="32" t="b">
        <v>0</v>
      </c>
      <c r="N272" s="32" t="b">
        <v>0</v>
      </c>
      <c r="O272" s="30">
        <v>0</v>
      </c>
      <c r="P272" s="30" t="s">
        <v>666</v>
      </c>
      <c r="Q272" s="30" t="s">
        <v>1957</v>
      </c>
      <c r="R272" s="30" t="s">
        <v>270</v>
      </c>
      <c r="S272" s="30" t="s">
        <v>1737</v>
      </c>
      <c r="T272" s="72" t="s">
        <v>33</v>
      </c>
      <c r="U272" s="72" t="s">
        <v>33</v>
      </c>
      <c r="V272" s="72" t="s">
        <v>1470</v>
      </c>
      <c r="W272" s="30" t="s">
        <v>35</v>
      </c>
      <c r="X272" s="30" t="s">
        <v>1580</v>
      </c>
      <c r="Y272" s="73" t="s">
        <v>1958</v>
      </c>
    </row>
    <row r="273" spans="1:25" x14ac:dyDescent="0.2">
      <c r="A273" s="74">
        <v>272</v>
      </c>
      <c r="B273" s="21" t="s">
        <v>1959</v>
      </c>
      <c r="C273" s="21" t="s">
        <v>1960</v>
      </c>
      <c r="D273" s="21" t="s">
        <v>49</v>
      </c>
      <c r="E273" s="21" t="s">
        <v>1961</v>
      </c>
      <c r="F273" s="21">
        <v>100</v>
      </c>
      <c r="G273" s="21">
        <v>4000</v>
      </c>
      <c r="H273" s="21">
        <v>30</v>
      </c>
      <c r="I273" s="75">
        <v>20</v>
      </c>
      <c r="J273" s="21" t="s">
        <v>1962</v>
      </c>
      <c r="K273" s="21" t="s">
        <v>1840</v>
      </c>
      <c r="M273" s="76" t="b">
        <v>0</v>
      </c>
      <c r="N273" s="76" t="b">
        <v>0</v>
      </c>
      <c r="O273" s="21">
        <v>0</v>
      </c>
      <c r="P273" s="21" t="s">
        <v>666</v>
      </c>
      <c r="Q273" s="21" t="s">
        <v>157</v>
      </c>
      <c r="R273" s="21" t="s">
        <v>130</v>
      </c>
      <c r="S273" s="21" t="s">
        <v>1737</v>
      </c>
      <c r="T273" s="77" t="s">
        <v>33</v>
      </c>
      <c r="U273" s="77" t="s">
        <v>33</v>
      </c>
      <c r="V273" s="77" t="s">
        <v>1470</v>
      </c>
      <c r="W273" s="21" t="s">
        <v>54</v>
      </c>
      <c r="X273" s="21" t="s">
        <v>1544</v>
      </c>
      <c r="Y273" s="78" t="s">
        <v>1963</v>
      </c>
    </row>
    <row r="274" spans="1:25" x14ac:dyDescent="0.2">
      <c r="A274" s="70">
        <v>273</v>
      </c>
      <c r="B274" s="30" t="s">
        <v>1964</v>
      </c>
      <c r="C274" s="30" t="s">
        <v>1965</v>
      </c>
      <c r="D274" s="30" t="s">
        <v>86</v>
      </c>
      <c r="E274" s="30" t="s">
        <v>1966</v>
      </c>
      <c r="F274" s="30">
        <v>150</v>
      </c>
      <c r="G274" s="30">
        <v>300</v>
      </c>
      <c r="H274" s="30">
        <v>30</v>
      </c>
      <c r="I274" s="71">
        <v>15</v>
      </c>
      <c r="J274" s="30" t="s">
        <v>1967</v>
      </c>
      <c r="L274" s="30" t="s">
        <v>1968</v>
      </c>
      <c r="M274" s="32" t="b">
        <v>0</v>
      </c>
      <c r="N274" s="32" t="b">
        <v>0</v>
      </c>
      <c r="O274" s="30">
        <v>0</v>
      </c>
      <c r="P274" s="30" t="s">
        <v>666</v>
      </c>
      <c r="Q274" s="30" t="s">
        <v>1969</v>
      </c>
      <c r="R274" s="30" t="s">
        <v>187</v>
      </c>
      <c r="S274" s="30" t="s">
        <v>1737</v>
      </c>
      <c r="T274" s="72" t="s">
        <v>33</v>
      </c>
      <c r="U274" s="72" t="s">
        <v>33</v>
      </c>
      <c r="V274" s="72" t="s">
        <v>1470</v>
      </c>
      <c r="W274" s="30" t="s">
        <v>11</v>
      </c>
      <c r="X274" s="30" t="s">
        <v>1544</v>
      </c>
      <c r="Y274" s="73" t="s">
        <v>1970</v>
      </c>
    </row>
    <row r="275" spans="1:25" x14ac:dyDescent="0.2">
      <c r="A275" s="74">
        <v>274</v>
      </c>
      <c r="B275" s="21" t="s">
        <v>1971</v>
      </c>
      <c r="C275" s="21" t="s">
        <v>1972</v>
      </c>
      <c r="D275" s="21" t="s">
        <v>27</v>
      </c>
      <c r="E275" s="21" t="s">
        <v>1973</v>
      </c>
      <c r="F275" s="21">
        <v>225</v>
      </c>
      <c r="G275" s="21">
        <v>300</v>
      </c>
      <c r="H275" s="21">
        <v>30</v>
      </c>
      <c r="I275" s="75">
        <v>10</v>
      </c>
      <c r="J275" s="21" t="s">
        <v>1974</v>
      </c>
      <c r="L275" s="21" t="s">
        <v>1975</v>
      </c>
      <c r="M275" s="76" t="b">
        <v>0</v>
      </c>
      <c r="N275" s="76" t="b">
        <v>0</v>
      </c>
      <c r="O275" s="21">
        <v>0</v>
      </c>
      <c r="P275" s="21" t="s">
        <v>666</v>
      </c>
      <c r="Q275" s="21" t="s">
        <v>1976</v>
      </c>
      <c r="R275" s="21" t="s">
        <v>43</v>
      </c>
      <c r="S275" s="21" t="s">
        <v>1737</v>
      </c>
      <c r="T275" s="77" t="s">
        <v>33</v>
      </c>
      <c r="U275" s="77" t="s">
        <v>33</v>
      </c>
      <c r="V275" s="77" t="s">
        <v>1470</v>
      </c>
      <c r="W275" s="21" t="s">
        <v>35</v>
      </c>
      <c r="X275" s="21" t="s">
        <v>1544</v>
      </c>
      <c r="Y275" s="78" t="s">
        <v>1977</v>
      </c>
    </row>
    <row r="276" spans="1:25" x14ac:dyDescent="0.2">
      <c r="A276" s="70">
        <v>275</v>
      </c>
      <c r="B276" s="30" t="s">
        <v>1978</v>
      </c>
      <c r="C276" s="30" t="s">
        <v>1979</v>
      </c>
      <c r="D276" s="30" t="s">
        <v>78</v>
      </c>
      <c r="E276" s="30" t="s">
        <v>1980</v>
      </c>
      <c r="F276" s="30">
        <v>200</v>
      </c>
      <c r="G276" s="30">
        <v>300</v>
      </c>
      <c r="H276" s="30">
        <v>30</v>
      </c>
      <c r="I276" s="71">
        <v>10</v>
      </c>
      <c r="J276" s="30" t="s">
        <v>1981</v>
      </c>
      <c r="M276" s="32" t="b">
        <v>0</v>
      </c>
      <c r="N276" s="32" t="b">
        <v>0</v>
      </c>
      <c r="O276" s="30">
        <v>0</v>
      </c>
      <c r="P276" s="30" t="s">
        <v>666</v>
      </c>
      <c r="Q276" s="30" t="s">
        <v>226</v>
      </c>
      <c r="R276" s="30" t="s">
        <v>270</v>
      </c>
      <c r="S276" s="30" t="s">
        <v>1737</v>
      </c>
      <c r="T276" s="72" t="s">
        <v>33</v>
      </c>
      <c r="U276" s="72" t="s">
        <v>33</v>
      </c>
      <c r="V276" s="72" t="s">
        <v>1470</v>
      </c>
      <c r="W276" s="30" t="s">
        <v>35</v>
      </c>
      <c r="X276" s="30" t="s">
        <v>1544</v>
      </c>
      <c r="Y276" s="73" t="s">
        <v>1982</v>
      </c>
    </row>
    <row r="277" spans="1:25" x14ac:dyDescent="0.2">
      <c r="A277" s="74">
        <v>276</v>
      </c>
      <c r="B277" s="21" t="s">
        <v>1983</v>
      </c>
      <c r="C277" s="21" t="s">
        <v>1984</v>
      </c>
      <c r="D277" s="21" t="s">
        <v>27</v>
      </c>
      <c r="E277" s="21" t="s">
        <v>1985</v>
      </c>
      <c r="F277" s="21">
        <v>375</v>
      </c>
      <c r="G277" s="21">
        <v>300</v>
      </c>
      <c r="H277" s="21">
        <v>1200</v>
      </c>
      <c r="I277" s="75">
        <v>10</v>
      </c>
      <c r="J277" s="21" t="s">
        <v>1986</v>
      </c>
      <c r="K277" s="21" t="s">
        <v>1987</v>
      </c>
      <c r="L277" s="21" t="s">
        <v>1988</v>
      </c>
      <c r="M277" s="76" t="b">
        <v>0</v>
      </c>
      <c r="N277" s="76" t="b">
        <v>0</v>
      </c>
      <c r="O277" s="21">
        <v>0</v>
      </c>
      <c r="P277" s="21" t="s">
        <v>268</v>
      </c>
      <c r="Q277" s="21" t="s">
        <v>1989</v>
      </c>
      <c r="R277" s="21" t="s">
        <v>740</v>
      </c>
      <c r="S277" s="21" t="s">
        <v>1737</v>
      </c>
      <c r="T277" s="77" t="s">
        <v>33</v>
      </c>
      <c r="U277" s="77" t="s">
        <v>33</v>
      </c>
      <c r="V277" s="77" t="s">
        <v>1470</v>
      </c>
      <c r="W277" s="21" t="s">
        <v>35</v>
      </c>
      <c r="X277" s="21" t="s">
        <v>1544</v>
      </c>
      <c r="Y277" s="78" t="s">
        <v>1990</v>
      </c>
    </row>
    <row r="278" spans="1:25" x14ac:dyDescent="0.2">
      <c r="A278" s="70">
        <v>277</v>
      </c>
      <c r="B278" s="30" t="s">
        <v>1991</v>
      </c>
      <c r="C278" s="30" t="s">
        <v>1992</v>
      </c>
      <c r="D278" s="30" t="s">
        <v>27</v>
      </c>
      <c r="E278" s="30" t="s">
        <v>1993</v>
      </c>
      <c r="F278" s="30">
        <v>175</v>
      </c>
      <c r="G278" s="30">
        <v>300</v>
      </c>
      <c r="H278" s="30">
        <v>140</v>
      </c>
      <c r="I278" s="71">
        <v>15</v>
      </c>
      <c r="J278" s="30" t="s">
        <v>1994</v>
      </c>
      <c r="L278" s="30" t="s">
        <v>1995</v>
      </c>
      <c r="M278" s="32" t="b">
        <v>0</v>
      </c>
      <c r="N278" s="32" t="b">
        <v>0</v>
      </c>
      <c r="O278" s="30">
        <v>0</v>
      </c>
      <c r="P278" s="30" t="s">
        <v>666</v>
      </c>
      <c r="Q278" s="30" t="s">
        <v>226</v>
      </c>
      <c r="R278" s="30" t="s">
        <v>52</v>
      </c>
      <c r="S278" s="30" t="s">
        <v>1737</v>
      </c>
      <c r="T278" s="72" t="s">
        <v>33</v>
      </c>
      <c r="U278" s="72" t="s">
        <v>33</v>
      </c>
      <c r="V278" s="72" t="s">
        <v>1470</v>
      </c>
      <c r="W278" s="30" t="s">
        <v>35</v>
      </c>
      <c r="X278" s="30" t="s">
        <v>1544</v>
      </c>
      <c r="Y278" s="73" t="s">
        <v>1996</v>
      </c>
    </row>
    <row r="279" spans="1:25" x14ac:dyDescent="0.2">
      <c r="A279" s="74">
        <v>278</v>
      </c>
      <c r="B279" s="21" t="s">
        <v>1997</v>
      </c>
      <c r="C279" s="21" t="s">
        <v>1998</v>
      </c>
      <c r="D279" s="21" t="s">
        <v>95</v>
      </c>
      <c r="E279" s="21" t="s">
        <v>1999</v>
      </c>
      <c r="F279" s="21">
        <v>300</v>
      </c>
      <c r="G279" s="21">
        <v>300</v>
      </c>
      <c r="H279" s="21">
        <v>30</v>
      </c>
      <c r="I279" s="75">
        <v>15</v>
      </c>
      <c r="J279" s="21" t="s">
        <v>2000</v>
      </c>
      <c r="L279" s="21" t="s">
        <v>2001</v>
      </c>
      <c r="M279" s="76" t="b">
        <v>0</v>
      </c>
      <c r="N279" s="76" t="b">
        <v>0</v>
      </c>
      <c r="O279" s="21">
        <v>0</v>
      </c>
      <c r="P279" s="21" t="s">
        <v>268</v>
      </c>
      <c r="Q279" s="21" t="s">
        <v>335</v>
      </c>
      <c r="R279" s="21" t="s">
        <v>43</v>
      </c>
      <c r="S279" s="21" t="s">
        <v>1737</v>
      </c>
      <c r="T279" s="77" t="s">
        <v>33</v>
      </c>
      <c r="U279" s="77" t="s">
        <v>33</v>
      </c>
      <c r="V279" s="77" t="s">
        <v>1470</v>
      </c>
      <c r="W279" s="21" t="s">
        <v>111</v>
      </c>
      <c r="X279" s="21" t="s">
        <v>1544</v>
      </c>
      <c r="Y279" s="78" t="s">
        <v>2002</v>
      </c>
    </row>
    <row r="280" spans="1:25" x14ac:dyDescent="0.2">
      <c r="A280" s="70">
        <v>279</v>
      </c>
      <c r="B280" s="30" t="s">
        <v>2003</v>
      </c>
      <c r="C280" s="30" t="s">
        <v>2004</v>
      </c>
      <c r="D280" s="30" t="s">
        <v>59</v>
      </c>
      <c r="E280" s="30" t="s">
        <v>2005</v>
      </c>
      <c r="F280" s="30">
        <v>100</v>
      </c>
      <c r="G280" s="30">
        <v>300</v>
      </c>
      <c r="H280" s="30">
        <v>2000</v>
      </c>
      <c r="I280" s="71">
        <v>30</v>
      </c>
      <c r="J280" s="30" t="s">
        <v>2006</v>
      </c>
      <c r="K280" s="30" t="s">
        <v>2007</v>
      </c>
      <c r="M280" s="32" t="b">
        <v>1</v>
      </c>
      <c r="N280" s="32" t="b">
        <v>0</v>
      </c>
      <c r="O280" s="30">
        <v>0</v>
      </c>
      <c r="P280" s="30" t="s">
        <v>666</v>
      </c>
      <c r="Q280" s="30" t="s">
        <v>2008</v>
      </c>
      <c r="R280" s="30" t="s">
        <v>72</v>
      </c>
      <c r="S280" s="30" t="s">
        <v>1737</v>
      </c>
      <c r="T280" s="72" t="s">
        <v>33</v>
      </c>
      <c r="U280" s="72" t="s">
        <v>33</v>
      </c>
      <c r="V280" s="72" t="s">
        <v>1470</v>
      </c>
      <c r="W280" s="30" t="s">
        <v>11</v>
      </c>
      <c r="X280" s="30" t="s">
        <v>1544</v>
      </c>
      <c r="Y280" s="73" t="s">
        <v>2009</v>
      </c>
    </row>
    <row r="281" spans="1:25" x14ac:dyDescent="0.2">
      <c r="A281" s="74">
        <v>280</v>
      </c>
      <c r="B281" s="21" t="s">
        <v>2010</v>
      </c>
      <c r="C281" s="21" t="s">
        <v>2011</v>
      </c>
      <c r="D281" s="21" t="s">
        <v>86</v>
      </c>
      <c r="E281" s="21" t="s">
        <v>2012</v>
      </c>
      <c r="F281" s="21">
        <v>200</v>
      </c>
      <c r="G281" s="21">
        <v>300</v>
      </c>
      <c r="H281" s="21">
        <v>60</v>
      </c>
      <c r="I281" s="75">
        <v>10</v>
      </c>
      <c r="J281" s="21" t="s">
        <v>2013</v>
      </c>
      <c r="K281" s="21" t="s">
        <v>2014</v>
      </c>
      <c r="M281" s="76" t="b">
        <v>0</v>
      </c>
      <c r="N281" s="76" t="b">
        <v>0</v>
      </c>
      <c r="O281" s="21">
        <v>0</v>
      </c>
      <c r="P281" s="21" t="s">
        <v>268</v>
      </c>
      <c r="Q281" s="21" t="s">
        <v>2015</v>
      </c>
      <c r="R281" s="21" t="s">
        <v>43</v>
      </c>
      <c r="S281" s="21" t="s">
        <v>1737</v>
      </c>
      <c r="T281" s="77" t="s">
        <v>33</v>
      </c>
      <c r="U281" s="77" t="s">
        <v>33</v>
      </c>
      <c r="V281" s="77" t="s">
        <v>1470</v>
      </c>
      <c r="W281" s="21" t="s">
        <v>111</v>
      </c>
      <c r="X281" s="21" t="s">
        <v>1544</v>
      </c>
      <c r="Y281" s="78" t="s">
        <v>2016</v>
      </c>
    </row>
    <row r="282" spans="1:25" x14ac:dyDescent="0.2">
      <c r="A282" s="70">
        <v>281</v>
      </c>
      <c r="B282" s="30" t="s">
        <v>2017</v>
      </c>
      <c r="C282" s="30" t="s">
        <v>2018</v>
      </c>
      <c r="D282" s="30" t="s">
        <v>216</v>
      </c>
      <c r="E282" s="30" t="s">
        <v>2019</v>
      </c>
      <c r="F282" s="30">
        <v>150</v>
      </c>
      <c r="G282" s="30">
        <v>300</v>
      </c>
      <c r="H282" s="30">
        <v>250</v>
      </c>
      <c r="I282" s="71">
        <v>10</v>
      </c>
      <c r="J282" s="30" t="s">
        <v>2020</v>
      </c>
      <c r="M282" s="32" t="b">
        <v>0</v>
      </c>
      <c r="N282" s="32" t="b">
        <v>0</v>
      </c>
      <c r="O282" s="30">
        <v>0</v>
      </c>
      <c r="P282" s="30" t="s">
        <v>666</v>
      </c>
      <c r="Q282" s="30" t="s">
        <v>2021</v>
      </c>
      <c r="R282" s="30" t="s">
        <v>43</v>
      </c>
      <c r="S282" s="30" t="s">
        <v>1737</v>
      </c>
      <c r="T282" s="72" t="s">
        <v>33</v>
      </c>
      <c r="U282" s="72" t="s">
        <v>33</v>
      </c>
      <c r="V282" s="72" t="s">
        <v>1470</v>
      </c>
      <c r="W282" s="30" t="s">
        <v>111</v>
      </c>
      <c r="X282" s="30" t="s">
        <v>1544</v>
      </c>
      <c r="Y282" s="73" t="s">
        <v>2022</v>
      </c>
    </row>
    <row r="283" spans="1:25" x14ac:dyDescent="0.2">
      <c r="A283" s="74">
        <v>282</v>
      </c>
      <c r="B283" s="21" t="s">
        <v>2023</v>
      </c>
      <c r="C283" s="21" t="s">
        <v>2024</v>
      </c>
      <c r="D283" s="21" t="s">
        <v>27</v>
      </c>
      <c r="E283" s="21" t="s">
        <v>2025</v>
      </c>
      <c r="F283" s="21">
        <v>200</v>
      </c>
      <c r="G283" s="21">
        <v>300</v>
      </c>
      <c r="H283" s="21">
        <v>20</v>
      </c>
      <c r="I283" s="75">
        <v>5</v>
      </c>
      <c r="J283" s="21" t="s">
        <v>2026</v>
      </c>
      <c r="M283" s="76" t="b">
        <v>0</v>
      </c>
      <c r="N283" s="76" t="b">
        <v>0</v>
      </c>
      <c r="O283" s="21">
        <v>0</v>
      </c>
      <c r="P283" s="21" t="s">
        <v>666</v>
      </c>
      <c r="Q283" s="21" t="s">
        <v>2027</v>
      </c>
      <c r="R283" s="21" t="s">
        <v>43</v>
      </c>
      <c r="S283" s="21" t="s">
        <v>1737</v>
      </c>
      <c r="T283" s="77" t="s">
        <v>33</v>
      </c>
      <c r="U283" s="77" t="s">
        <v>33</v>
      </c>
      <c r="V283" s="77" t="s">
        <v>1470</v>
      </c>
      <c r="W283" s="21" t="s">
        <v>35</v>
      </c>
      <c r="X283" s="21" t="s">
        <v>1544</v>
      </c>
      <c r="Y283" s="78" t="s">
        <v>2028</v>
      </c>
    </row>
    <row r="284" spans="1:25" x14ac:dyDescent="0.2">
      <c r="A284" s="70">
        <v>283</v>
      </c>
      <c r="B284" s="30" t="s">
        <v>2029</v>
      </c>
      <c r="C284" s="30" t="s">
        <v>2030</v>
      </c>
      <c r="D284" s="30" t="s">
        <v>68</v>
      </c>
      <c r="E284" s="30" t="s">
        <v>2031</v>
      </c>
      <c r="F284" s="30">
        <v>200</v>
      </c>
      <c r="G284" s="30">
        <v>300</v>
      </c>
      <c r="H284" s="30">
        <v>100</v>
      </c>
      <c r="I284" s="71">
        <v>10</v>
      </c>
      <c r="J284" s="30" t="s">
        <v>2032</v>
      </c>
      <c r="M284" s="32" t="b">
        <v>0</v>
      </c>
      <c r="N284" s="32" t="b">
        <v>0</v>
      </c>
      <c r="O284" s="30">
        <v>0</v>
      </c>
      <c r="P284" s="30" t="s">
        <v>268</v>
      </c>
      <c r="R284" s="30" t="s">
        <v>43</v>
      </c>
      <c r="S284" s="30" t="s">
        <v>1737</v>
      </c>
      <c r="T284" s="72" t="s">
        <v>33</v>
      </c>
      <c r="U284" s="72" t="s">
        <v>3259</v>
      </c>
      <c r="V284" s="72" t="s">
        <v>1470</v>
      </c>
      <c r="W284" s="30" t="s">
        <v>35</v>
      </c>
      <c r="X284" s="30" t="s">
        <v>1544</v>
      </c>
      <c r="Y284" s="73" t="s">
        <v>2033</v>
      </c>
    </row>
    <row r="285" spans="1:25" x14ac:dyDescent="0.2">
      <c r="A285" s="74">
        <v>284</v>
      </c>
      <c r="B285" s="21" t="s">
        <v>2034</v>
      </c>
      <c r="C285" s="21" t="s">
        <v>2035</v>
      </c>
      <c r="D285" s="21" t="s">
        <v>86</v>
      </c>
      <c r="E285" s="21" t="s">
        <v>2036</v>
      </c>
      <c r="F285" s="21">
        <v>250</v>
      </c>
      <c r="G285" s="21">
        <v>300</v>
      </c>
      <c r="H285" s="21">
        <v>150</v>
      </c>
      <c r="I285" s="75">
        <v>5</v>
      </c>
      <c r="J285" s="21" t="s">
        <v>2037</v>
      </c>
      <c r="M285" s="76" t="b">
        <v>0</v>
      </c>
      <c r="N285" s="76" t="b">
        <v>0</v>
      </c>
      <c r="O285" s="21">
        <v>0</v>
      </c>
      <c r="P285" s="21" t="s">
        <v>666</v>
      </c>
      <c r="Q285" s="21" t="s">
        <v>2038</v>
      </c>
      <c r="R285" s="21" t="s">
        <v>52</v>
      </c>
      <c r="S285" s="21" t="s">
        <v>1737</v>
      </c>
      <c r="T285" s="77" t="s">
        <v>33</v>
      </c>
      <c r="U285" s="77" t="s">
        <v>33</v>
      </c>
      <c r="V285" s="77" t="s">
        <v>1470</v>
      </c>
      <c r="W285" s="21" t="s">
        <v>35</v>
      </c>
      <c r="X285" s="21" t="s">
        <v>1544</v>
      </c>
      <c r="Y285" s="78" t="s">
        <v>2039</v>
      </c>
    </row>
    <row r="286" spans="1:25" x14ac:dyDescent="0.2">
      <c r="A286" s="70">
        <v>285</v>
      </c>
      <c r="B286" s="30" t="s">
        <v>2040</v>
      </c>
      <c r="C286" s="30" t="s">
        <v>2041</v>
      </c>
      <c r="D286" s="30" t="s">
        <v>95</v>
      </c>
      <c r="E286" s="30" t="s">
        <v>2042</v>
      </c>
      <c r="F286" s="30">
        <v>150</v>
      </c>
      <c r="G286" s="30">
        <v>300</v>
      </c>
      <c r="H286" s="30">
        <v>15</v>
      </c>
      <c r="I286" s="71">
        <v>7.5</v>
      </c>
      <c r="J286" s="30" t="s">
        <v>2043</v>
      </c>
      <c r="K286" s="30" t="s">
        <v>2044</v>
      </c>
      <c r="M286" s="32" t="b">
        <v>0</v>
      </c>
      <c r="N286" s="32" t="b">
        <v>0</v>
      </c>
      <c r="O286" s="30">
        <v>0</v>
      </c>
      <c r="P286" s="30" t="s">
        <v>268</v>
      </c>
      <c r="Q286" s="30" t="s">
        <v>2045</v>
      </c>
      <c r="R286" s="30" t="s">
        <v>72</v>
      </c>
      <c r="S286" s="30" t="s">
        <v>1737</v>
      </c>
      <c r="T286" s="72" t="s">
        <v>33</v>
      </c>
      <c r="U286" s="72" t="s">
        <v>33</v>
      </c>
      <c r="V286" s="72" t="s">
        <v>1470</v>
      </c>
      <c r="W286" s="30" t="s">
        <v>360</v>
      </c>
      <c r="X286" s="30" t="s">
        <v>1544</v>
      </c>
      <c r="Y286" s="73" t="s">
        <v>2046</v>
      </c>
    </row>
    <row r="287" spans="1:25" x14ac:dyDescent="0.2">
      <c r="A287" s="74">
        <v>286</v>
      </c>
      <c r="B287" s="21" t="s">
        <v>2047</v>
      </c>
      <c r="C287" s="21" t="s">
        <v>2048</v>
      </c>
      <c r="D287" s="21" t="s">
        <v>505</v>
      </c>
      <c r="E287" s="21" t="s">
        <v>2049</v>
      </c>
      <c r="F287" s="21">
        <v>175</v>
      </c>
      <c r="G287" s="21">
        <v>300</v>
      </c>
      <c r="H287" s="21">
        <v>40</v>
      </c>
      <c r="I287" s="75">
        <v>5</v>
      </c>
      <c r="J287" s="21" t="s">
        <v>2050</v>
      </c>
      <c r="M287" s="76" t="b">
        <v>0</v>
      </c>
      <c r="N287" s="76" t="b">
        <v>0</v>
      </c>
      <c r="O287" s="21">
        <v>0</v>
      </c>
      <c r="P287" s="21" t="s">
        <v>268</v>
      </c>
      <c r="R287" s="21" t="s">
        <v>43</v>
      </c>
      <c r="S287" s="21" t="s">
        <v>1737</v>
      </c>
      <c r="T287" s="77" t="s">
        <v>33</v>
      </c>
      <c r="U287" s="77" t="s">
        <v>33</v>
      </c>
      <c r="V287" s="77" t="s">
        <v>1470</v>
      </c>
      <c r="W287" s="21" t="s">
        <v>35</v>
      </c>
      <c r="X287" s="21" t="s">
        <v>1544</v>
      </c>
      <c r="Y287" s="78" t="s">
        <v>2051</v>
      </c>
    </row>
    <row r="288" spans="1:25" x14ac:dyDescent="0.2">
      <c r="A288" s="70">
        <v>287</v>
      </c>
      <c r="B288" s="30" t="s">
        <v>2052</v>
      </c>
      <c r="C288" s="30" t="s">
        <v>2053</v>
      </c>
      <c r="D288" s="30" t="s">
        <v>105</v>
      </c>
      <c r="E288" s="30" t="s">
        <v>2054</v>
      </c>
      <c r="F288" s="30">
        <v>150</v>
      </c>
      <c r="G288" s="30">
        <v>300</v>
      </c>
      <c r="H288" s="30">
        <v>75</v>
      </c>
      <c r="I288" s="71">
        <v>5</v>
      </c>
      <c r="J288" s="30" t="s">
        <v>2055</v>
      </c>
      <c r="K288" s="30" t="s">
        <v>2056</v>
      </c>
      <c r="M288" s="32" t="b">
        <v>0</v>
      </c>
      <c r="N288" s="32" t="b">
        <v>0</v>
      </c>
      <c r="O288" s="30">
        <v>0</v>
      </c>
      <c r="P288" s="30" t="s">
        <v>666</v>
      </c>
      <c r="Q288" s="30" t="s">
        <v>226</v>
      </c>
      <c r="R288" s="30" t="s">
        <v>43</v>
      </c>
      <c r="S288" s="30" t="s">
        <v>1737</v>
      </c>
      <c r="T288" s="72" t="s">
        <v>33</v>
      </c>
      <c r="U288" s="72" t="s">
        <v>33</v>
      </c>
      <c r="V288" s="72" t="s">
        <v>1470</v>
      </c>
      <c r="W288" s="30" t="s">
        <v>111</v>
      </c>
      <c r="X288" s="30" t="s">
        <v>1544</v>
      </c>
      <c r="Y288" s="73" t="s">
        <v>2057</v>
      </c>
    </row>
    <row r="289" spans="1:25" x14ac:dyDescent="0.2">
      <c r="A289" s="74">
        <v>288</v>
      </c>
      <c r="B289" s="21" t="s">
        <v>2058</v>
      </c>
      <c r="C289" s="21" t="s">
        <v>2059</v>
      </c>
      <c r="D289" s="21" t="s">
        <v>59</v>
      </c>
      <c r="E289" s="21" t="s">
        <v>2060</v>
      </c>
      <c r="F289" s="21">
        <v>450</v>
      </c>
      <c r="G289" s="21">
        <v>300</v>
      </c>
      <c r="H289" s="21">
        <v>700</v>
      </c>
      <c r="I289" s="75">
        <v>10</v>
      </c>
      <c r="J289" s="21" t="s">
        <v>2061</v>
      </c>
      <c r="K289" s="21" t="s">
        <v>1987</v>
      </c>
      <c r="L289" s="21" t="s">
        <v>2062</v>
      </c>
      <c r="M289" s="76" t="b">
        <v>0</v>
      </c>
      <c r="N289" s="76" t="b">
        <v>0</v>
      </c>
      <c r="O289" s="21">
        <v>0</v>
      </c>
      <c r="P289" s="21" t="s">
        <v>666</v>
      </c>
      <c r="Q289" s="21" t="s">
        <v>2063</v>
      </c>
      <c r="R289" s="21" t="s">
        <v>366</v>
      </c>
      <c r="S289" s="21" t="s">
        <v>1737</v>
      </c>
      <c r="T289" s="77" t="s">
        <v>33</v>
      </c>
      <c r="U289" s="77" t="s">
        <v>33</v>
      </c>
      <c r="V289" s="77" t="s">
        <v>2064</v>
      </c>
      <c r="W289" s="21" t="s">
        <v>35</v>
      </c>
      <c r="X289" s="21" t="s">
        <v>1544</v>
      </c>
      <c r="Y289" s="78" t="s">
        <v>2065</v>
      </c>
    </row>
    <row r="290" spans="1:25" x14ac:dyDescent="0.2">
      <c r="A290" s="70">
        <v>289</v>
      </c>
      <c r="B290" s="30" t="s">
        <v>2066</v>
      </c>
      <c r="C290" s="30" t="s">
        <v>2067</v>
      </c>
      <c r="D290" s="30" t="s">
        <v>49</v>
      </c>
      <c r="E290" s="30" t="s">
        <v>2068</v>
      </c>
      <c r="F290" s="30">
        <v>125</v>
      </c>
      <c r="G290" s="30">
        <v>5500</v>
      </c>
      <c r="H290" s="30">
        <v>0</v>
      </c>
      <c r="I290" s="71">
        <v>30</v>
      </c>
      <c r="J290" s="30" t="s">
        <v>2069</v>
      </c>
      <c r="K290" s="30" t="s">
        <v>2070</v>
      </c>
      <c r="L290" s="30" t="s">
        <v>2071</v>
      </c>
      <c r="M290" s="32" t="b">
        <v>0</v>
      </c>
      <c r="N290" s="32" t="b">
        <v>0</v>
      </c>
      <c r="O290" s="30">
        <v>0</v>
      </c>
      <c r="P290" s="30" t="s">
        <v>666</v>
      </c>
      <c r="Q290" s="30" t="s">
        <v>157</v>
      </c>
      <c r="R290" s="30" t="s">
        <v>740</v>
      </c>
      <c r="S290" s="30" t="s">
        <v>1737</v>
      </c>
      <c r="T290" s="72" t="s">
        <v>33</v>
      </c>
      <c r="U290" s="72" t="s">
        <v>33</v>
      </c>
      <c r="V290" s="72" t="s">
        <v>1470</v>
      </c>
      <c r="W290" s="30" t="s">
        <v>54</v>
      </c>
      <c r="X290" s="30" t="s">
        <v>1544</v>
      </c>
      <c r="Y290" s="73" t="s">
        <v>2072</v>
      </c>
    </row>
    <row r="291" spans="1:25" x14ac:dyDescent="0.2">
      <c r="A291" s="74">
        <v>290</v>
      </c>
      <c r="B291" s="21" t="s">
        <v>2073</v>
      </c>
      <c r="C291" s="21" t="s">
        <v>2074</v>
      </c>
      <c r="D291" s="21" t="s">
        <v>95</v>
      </c>
      <c r="E291" s="21" t="s">
        <v>2075</v>
      </c>
      <c r="F291" s="21">
        <v>200</v>
      </c>
      <c r="G291" s="21">
        <v>300</v>
      </c>
      <c r="H291" s="21">
        <v>60</v>
      </c>
      <c r="I291" s="75">
        <v>7.5</v>
      </c>
      <c r="J291" s="21" t="s">
        <v>2076</v>
      </c>
      <c r="K291" s="21" t="s">
        <v>1815</v>
      </c>
      <c r="L291" s="21" t="s">
        <v>2077</v>
      </c>
      <c r="M291" s="76" t="b">
        <v>0</v>
      </c>
      <c r="N291" s="76" t="b">
        <v>0</v>
      </c>
      <c r="O291" s="21">
        <v>0</v>
      </c>
      <c r="P291" s="21" t="s">
        <v>666</v>
      </c>
      <c r="Q291" s="21" t="s">
        <v>2078</v>
      </c>
      <c r="R291" s="21" t="s">
        <v>43</v>
      </c>
      <c r="S291" s="21" t="s">
        <v>1737</v>
      </c>
      <c r="T291" s="77" t="s">
        <v>33</v>
      </c>
      <c r="U291" s="77" t="s">
        <v>33</v>
      </c>
      <c r="V291" s="77" t="s">
        <v>1470</v>
      </c>
      <c r="W291" s="21" t="s">
        <v>35</v>
      </c>
      <c r="X291" s="21" t="s">
        <v>1544</v>
      </c>
      <c r="Y291" s="78" t="s">
        <v>2079</v>
      </c>
    </row>
    <row r="292" spans="1:25" x14ac:dyDescent="0.2">
      <c r="A292" s="70">
        <v>291</v>
      </c>
      <c r="B292" s="30" t="s">
        <v>2080</v>
      </c>
      <c r="C292" s="30" t="s">
        <v>2081</v>
      </c>
      <c r="D292" s="30" t="s">
        <v>105</v>
      </c>
      <c r="E292" s="30" t="s">
        <v>2082</v>
      </c>
      <c r="F292" s="30">
        <v>200</v>
      </c>
      <c r="G292" s="30">
        <v>300</v>
      </c>
      <c r="H292" s="30">
        <v>30</v>
      </c>
      <c r="I292" s="71">
        <v>5</v>
      </c>
      <c r="J292" s="30" t="s">
        <v>2083</v>
      </c>
      <c r="K292" s="30" t="s">
        <v>2084</v>
      </c>
      <c r="L292" s="30" t="s">
        <v>2085</v>
      </c>
      <c r="M292" s="32" t="b">
        <v>0</v>
      </c>
      <c r="N292" s="32" t="b">
        <v>0</v>
      </c>
      <c r="O292" s="30">
        <v>0</v>
      </c>
      <c r="P292" s="30" t="s">
        <v>666</v>
      </c>
      <c r="R292" s="30" t="s">
        <v>43</v>
      </c>
      <c r="S292" s="30" t="s">
        <v>1737</v>
      </c>
      <c r="T292" s="72" t="s">
        <v>33</v>
      </c>
      <c r="U292" s="72" t="s">
        <v>33</v>
      </c>
      <c r="V292" s="72" t="s">
        <v>1470</v>
      </c>
      <c r="W292" s="30" t="s">
        <v>111</v>
      </c>
      <c r="X292" s="30" t="s">
        <v>1544</v>
      </c>
      <c r="Y292" s="73" t="s">
        <v>2086</v>
      </c>
    </row>
    <row r="293" spans="1:25" x14ac:dyDescent="0.2">
      <c r="A293" s="74">
        <v>292</v>
      </c>
      <c r="B293" s="21" t="s">
        <v>2087</v>
      </c>
      <c r="C293" s="21" t="s">
        <v>2088</v>
      </c>
      <c r="D293" s="21" t="s">
        <v>105</v>
      </c>
      <c r="E293" s="21" t="s">
        <v>2089</v>
      </c>
      <c r="F293" s="21">
        <v>150</v>
      </c>
      <c r="G293" s="21">
        <v>1000</v>
      </c>
      <c r="H293" s="21">
        <v>100</v>
      </c>
      <c r="I293" s="75">
        <v>5</v>
      </c>
      <c r="J293" s="21" t="s">
        <v>2090</v>
      </c>
      <c r="L293" s="21" t="s">
        <v>2091</v>
      </c>
      <c r="M293" s="76" t="b">
        <v>0</v>
      </c>
      <c r="N293" s="76" t="b">
        <v>0</v>
      </c>
      <c r="O293" s="21">
        <v>0</v>
      </c>
      <c r="P293" s="21" t="s">
        <v>666</v>
      </c>
      <c r="Q293" s="21" t="s">
        <v>335</v>
      </c>
      <c r="R293" s="21" t="s">
        <v>43</v>
      </c>
      <c r="S293" s="21" t="s">
        <v>1737</v>
      </c>
      <c r="T293" s="77" t="s">
        <v>33</v>
      </c>
      <c r="U293" s="77" t="s">
        <v>33</v>
      </c>
      <c r="V293" s="77" t="s">
        <v>1470</v>
      </c>
      <c r="W293" s="21" t="s">
        <v>111</v>
      </c>
      <c r="X293" s="21" t="s">
        <v>1544</v>
      </c>
      <c r="Y293" s="78" t="s">
        <v>2092</v>
      </c>
    </row>
    <row r="294" spans="1:25" x14ac:dyDescent="0.2">
      <c r="A294" s="70">
        <v>293</v>
      </c>
      <c r="B294" s="30" t="s">
        <v>2093</v>
      </c>
      <c r="C294" s="30" t="s">
        <v>2094</v>
      </c>
      <c r="D294" s="30" t="s">
        <v>105</v>
      </c>
      <c r="E294" s="30" t="s">
        <v>2095</v>
      </c>
      <c r="F294" s="30">
        <v>150</v>
      </c>
      <c r="G294" s="30">
        <v>400</v>
      </c>
      <c r="H294" s="30">
        <v>300</v>
      </c>
      <c r="I294" s="71">
        <v>5</v>
      </c>
      <c r="J294" s="30" t="s">
        <v>2096</v>
      </c>
      <c r="K294" s="30" t="s">
        <v>2097</v>
      </c>
      <c r="L294" s="30" t="s">
        <v>2098</v>
      </c>
      <c r="M294" s="32" t="b">
        <v>0</v>
      </c>
      <c r="N294" s="32" t="b">
        <v>0</v>
      </c>
      <c r="O294" s="30">
        <v>0</v>
      </c>
      <c r="P294" s="30" t="s">
        <v>666</v>
      </c>
      <c r="Q294" s="30" t="s">
        <v>157</v>
      </c>
      <c r="R294" s="30" t="s">
        <v>43</v>
      </c>
      <c r="S294" s="30" t="s">
        <v>1737</v>
      </c>
      <c r="T294" s="72" t="s">
        <v>33</v>
      </c>
      <c r="U294" s="72" t="s">
        <v>33</v>
      </c>
      <c r="V294" s="72" t="s">
        <v>1470</v>
      </c>
      <c r="W294" s="30" t="s">
        <v>111</v>
      </c>
      <c r="X294" s="30" t="s">
        <v>1544</v>
      </c>
      <c r="Y294" s="73" t="s">
        <v>2099</v>
      </c>
    </row>
    <row r="295" spans="1:25" x14ac:dyDescent="0.2">
      <c r="A295" s="74">
        <v>294</v>
      </c>
      <c r="B295" s="21" t="s">
        <v>2100</v>
      </c>
      <c r="C295" s="21" t="s">
        <v>2101</v>
      </c>
      <c r="D295" s="21" t="s">
        <v>216</v>
      </c>
      <c r="E295" s="21" t="s">
        <v>2102</v>
      </c>
      <c r="F295" s="21">
        <v>150</v>
      </c>
      <c r="G295" s="21">
        <v>300</v>
      </c>
      <c r="H295" s="21">
        <v>200</v>
      </c>
      <c r="I295" s="75">
        <v>5</v>
      </c>
      <c r="J295" s="21" t="s">
        <v>2103</v>
      </c>
      <c r="K295" s="21" t="s">
        <v>2104</v>
      </c>
      <c r="L295" s="21" t="s">
        <v>2105</v>
      </c>
      <c r="M295" s="76" t="b">
        <v>0</v>
      </c>
      <c r="N295" s="76" t="b">
        <v>0</v>
      </c>
      <c r="O295" s="21">
        <v>0</v>
      </c>
      <c r="P295" s="21" t="s">
        <v>666</v>
      </c>
      <c r="Q295" s="21" t="s">
        <v>2106</v>
      </c>
      <c r="R295" s="21" t="s">
        <v>130</v>
      </c>
      <c r="S295" s="21" t="s">
        <v>1737</v>
      </c>
      <c r="T295" s="77" t="s">
        <v>33</v>
      </c>
      <c r="U295" s="77" t="s">
        <v>33</v>
      </c>
      <c r="V295" s="77" t="s">
        <v>1470</v>
      </c>
      <c r="W295" s="21" t="s">
        <v>111</v>
      </c>
      <c r="X295" s="21" t="s">
        <v>1544</v>
      </c>
      <c r="Y295" s="78" t="s">
        <v>2107</v>
      </c>
    </row>
    <row r="296" spans="1:25" x14ac:dyDescent="0.2">
      <c r="A296" s="70">
        <v>295</v>
      </c>
      <c r="B296" s="30" t="s">
        <v>2108</v>
      </c>
      <c r="C296" s="30" t="s">
        <v>2109</v>
      </c>
      <c r="D296" s="30" t="s">
        <v>105</v>
      </c>
      <c r="E296" s="30" t="s">
        <v>2110</v>
      </c>
      <c r="F296" s="30">
        <v>250</v>
      </c>
      <c r="G296" s="30">
        <v>1000</v>
      </c>
      <c r="H296" s="30">
        <v>80</v>
      </c>
      <c r="I296" s="71">
        <v>15</v>
      </c>
      <c r="J296" s="30" t="s">
        <v>2111</v>
      </c>
      <c r="K296" s="30" t="s">
        <v>2112</v>
      </c>
      <c r="L296" s="30" t="s">
        <v>2113</v>
      </c>
      <c r="M296" s="32" t="b">
        <v>0</v>
      </c>
      <c r="N296" s="32" t="b">
        <v>0</v>
      </c>
      <c r="O296" s="30">
        <v>0</v>
      </c>
      <c r="P296" s="30" t="s">
        <v>666</v>
      </c>
      <c r="Q296" s="30" t="s">
        <v>2114</v>
      </c>
      <c r="R296" s="30" t="s">
        <v>366</v>
      </c>
      <c r="S296" s="30" t="s">
        <v>1737</v>
      </c>
      <c r="T296" s="72" t="s">
        <v>33</v>
      </c>
      <c r="U296" s="72" t="s">
        <v>33</v>
      </c>
      <c r="V296" s="72" t="s">
        <v>1470</v>
      </c>
      <c r="W296" s="30" t="s">
        <v>111</v>
      </c>
      <c r="X296" s="30" t="s">
        <v>1544</v>
      </c>
      <c r="Y296" s="73" t="s">
        <v>2115</v>
      </c>
    </row>
    <row r="297" spans="1:25" x14ac:dyDescent="0.2">
      <c r="A297" s="74">
        <v>296</v>
      </c>
      <c r="B297" s="21" t="s">
        <v>2116</v>
      </c>
      <c r="C297" s="21" t="s">
        <v>2117</v>
      </c>
      <c r="D297" s="21" t="s">
        <v>78</v>
      </c>
      <c r="E297" s="21" t="s">
        <v>2118</v>
      </c>
      <c r="F297" s="21">
        <v>200</v>
      </c>
      <c r="G297" s="21">
        <v>300</v>
      </c>
      <c r="H297" s="21">
        <v>200</v>
      </c>
      <c r="I297" s="75">
        <v>5</v>
      </c>
      <c r="J297" s="21" t="s">
        <v>2119</v>
      </c>
      <c r="K297" s="21" t="s">
        <v>1840</v>
      </c>
      <c r="L297" s="21" t="s">
        <v>2120</v>
      </c>
      <c r="M297" s="76" t="b">
        <v>0</v>
      </c>
      <c r="N297" s="76" t="b">
        <v>0</v>
      </c>
      <c r="O297" s="21">
        <v>0</v>
      </c>
      <c r="P297" s="21" t="s">
        <v>666</v>
      </c>
      <c r="Q297" s="21" t="s">
        <v>335</v>
      </c>
      <c r="R297" s="21" t="s">
        <v>43</v>
      </c>
      <c r="S297" s="21" t="s">
        <v>1737</v>
      </c>
      <c r="T297" s="77" t="s">
        <v>33</v>
      </c>
      <c r="U297" s="77" t="s">
        <v>33</v>
      </c>
      <c r="V297" s="77" t="s">
        <v>1470</v>
      </c>
      <c r="W297" s="21" t="s">
        <v>111</v>
      </c>
      <c r="X297" s="21" t="s">
        <v>1544</v>
      </c>
      <c r="Y297" s="78" t="s">
        <v>2121</v>
      </c>
    </row>
    <row r="298" spans="1:25" x14ac:dyDescent="0.2">
      <c r="A298" s="70">
        <v>297</v>
      </c>
      <c r="B298" s="30" t="s">
        <v>2122</v>
      </c>
      <c r="C298" s="30" t="s">
        <v>2123</v>
      </c>
      <c r="D298" s="30" t="s">
        <v>105</v>
      </c>
      <c r="E298" s="30" t="s">
        <v>2124</v>
      </c>
      <c r="F298" s="30">
        <v>150</v>
      </c>
      <c r="G298" s="30">
        <v>300</v>
      </c>
      <c r="H298" s="30">
        <v>50</v>
      </c>
      <c r="I298" s="71">
        <v>5</v>
      </c>
      <c r="J298" s="30" t="s">
        <v>2125</v>
      </c>
      <c r="K298" s="30" t="s">
        <v>1801</v>
      </c>
      <c r="L298" s="30" t="s">
        <v>2126</v>
      </c>
      <c r="M298" s="32" t="b">
        <v>0</v>
      </c>
      <c r="N298" s="32" t="b">
        <v>0</v>
      </c>
      <c r="O298" s="30">
        <v>0</v>
      </c>
      <c r="P298" s="30" t="s">
        <v>268</v>
      </c>
      <c r="Q298" s="30" t="s">
        <v>157</v>
      </c>
      <c r="R298" s="30" t="s">
        <v>531</v>
      </c>
      <c r="S298" s="30" t="s">
        <v>1737</v>
      </c>
      <c r="T298" s="72" t="s">
        <v>33</v>
      </c>
      <c r="U298" s="72" t="s">
        <v>33</v>
      </c>
      <c r="V298" s="72" t="s">
        <v>1470</v>
      </c>
      <c r="W298" s="30" t="s">
        <v>111</v>
      </c>
      <c r="X298" s="30" t="s">
        <v>1544</v>
      </c>
      <c r="Y298" s="73" t="s">
        <v>2127</v>
      </c>
    </row>
    <row r="299" spans="1:25" x14ac:dyDescent="0.2">
      <c r="A299" s="74">
        <v>298</v>
      </c>
      <c r="B299" s="21" t="s">
        <v>2128</v>
      </c>
      <c r="C299" s="21" t="s">
        <v>2129</v>
      </c>
      <c r="D299" s="21" t="s">
        <v>78</v>
      </c>
      <c r="E299" s="21" t="s">
        <v>2130</v>
      </c>
      <c r="F299" s="21">
        <v>250</v>
      </c>
      <c r="G299" s="21">
        <v>300</v>
      </c>
      <c r="H299" s="21">
        <v>40</v>
      </c>
      <c r="I299" s="75">
        <v>7.5</v>
      </c>
      <c r="J299" s="21" t="s">
        <v>2131</v>
      </c>
      <c r="K299" s="21" t="s">
        <v>1815</v>
      </c>
      <c r="L299" s="21" t="s">
        <v>2132</v>
      </c>
      <c r="M299" s="76" t="b">
        <v>0</v>
      </c>
      <c r="N299" s="76" t="b">
        <v>0</v>
      </c>
      <c r="O299" s="21">
        <v>0</v>
      </c>
      <c r="P299" s="21" t="s">
        <v>666</v>
      </c>
      <c r="R299" s="21" t="s">
        <v>43</v>
      </c>
      <c r="S299" s="21" t="s">
        <v>1737</v>
      </c>
      <c r="T299" s="77" t="s">
        <v>33</v>
      </c>
      <c r="U299" s="77" t="s">
        <v>33</v>
      </c>
      <c r="V299" s="77" t="s">
        <v>1470</v>
      </c>
      <c r="W299" s="21" t="s">
        <v>35</v>
      </c>
      <c r="X299" s="21" t="s">
        <v>1544</v>
      </c>
      <c r="Y299" s="78" t="s">
        <v>2133</v>
      </c>
    </row>
    <row r="300" spans="1:25" x14ac:dyDescent="0.2">
      <c r="A300" s="70">
        <v>299</v>
      </c>
      <c r="B300" s="30" t="s">
        <v>2134</v>
      </c>
      <c r="C300" s="30" t="s">
        <v>2135</v>
      </c>
      <c r="D300" s="30" t="s">
        <v>356</v>
      </c>
      <c r="E300" s="30" t="s">
        <v>2136</v>
      </c>
      <c r="F300" s="30">
        <v>400</v>
      </c>
      <c r="G300" s="30">
        <v>300</v>
      </c>
      <c r="H300" s="30">
        <v>450</v>
      </c>
      <c r="I300" s="71">
        <v>10</v>
      </c>
      <c r="J300" s="30" t="s">
        <v>2137</v>
      </c>
      <c r="K300" s="30" t="s">
        <v>2138</v>
      </c>
      <c r="L300" s="30" t="s">
        <v>2139</v>
      </c>
      <c r="M300" s="32" t="b">
        <v>0</v>
      </c>
      <c r="N300" s="32" t="b">
        <v>0</v>
      </c>
      <c r="O300" s="30">
        <v>0</v>
      </c>
      <c r="P300" s="30" t="s">
        <v>666</v>
      </c>
      <c r="Q300" s="30" t="s">
        <v>2140</v>
      </c>
      <c r="R300" s="30" t="s">
        <v>43</v>
      </c>
      <c r="S300" s="30" t="s">
        <v>1737</v>
      </c>
      <c r="T300" s="72" t="s">
        <v>33</v>
      </c>
      <c r="U300" s="72" t="s">
        <v>33</v>
      </c>
      <c r="V300" s="72" t="s">
        <v>1470</v>
      </c>
      <c r="W300" s="30" t="s">
        <v>35</v>
      </c>
      <c r="X300" s="30" t="s">
        <v>1544</v>
      </c>
      <c r="Y300" s="73" t="s">
        <v>2141</v>
      </c>
    </row>
    <row r="301" spans="1:25" x14ac:dyDescent="0.2">
      <c r="A301" s="74">
        <v>300</v>
      </c>
      <c r="B301" s="21" t="s">
        <v>2142</v>
      </c>
      <c r="C301" s="21" t="s">
        <v>2143</v>
      </c>
      <c r="D301" s="21" t="s">
        <v>105</v>
      </c>
      <c r="E301" s="21" t="s">
        <v>2144</v>
      </c>
      <c r="F301" s="21">
        <v>200</v>
      </c>
      <c r="G301" s="21">
        <v>300</v>
      </c>
      <c r="H301" s="21">
        <v>20</v>
      </c>
      <c r="I301" s="75">
        <v>10</v>
      </c>
      <c r="J301" s="21" t="s">
        <v>2145</v>
      </c>
      <c r="L301" s="21" t="s">
        <v>2146</v>
      </c>
      <c r="M301" s="76" t="b">
        <v>0</v>
      </c>
      <c r="N301" s="76" t="b">
        <v>0</v>
      </c>
      <c r="O301" s="21">
        <v>0</v>
      </c>
      <c r="P301" s="21" t="s">
        <v>666</v>
      </c>
      <c r="Q301" s="21" t="s">
        <v>2147</v>
      </c>
      <c r="R301" s="21" t="s">
        <v>72</v>
      </c>
      <c r="S301" s="21" t="s">
        <v>1737</v>
      </c>
      <c r="T301" s="77" t="s">
        <v>33</v>
      </c>
      <c r="U301" s="77" t="s">
        <v>33</v>
      </c>
      <c r="V301" s="77" t="s">
        <v>1470</v>
      </c>
      <c r="W301" s="21" t="s">
        <v>35</v>
      </c>
      <c r="X301" s="21" t="s">
        <v>1544</v>
      </c>
      <c r="Y301" s="78" t="s">
        <v>2148</v>
      </c>
    </row>
    <row r="302" spans="1:25" x14ac:dyDescent="0.2">
      <c r="A302" s="70">
        <v>301</v>
      </c>
      <c r="B302" s="30" t="s">
        <v>2149</v>
      </c>
      <c r="C302" s="30" t="s">
        <v>2150</v>
      </c>
      <c r="D302" s="30" t="s">
        <v>356</v>
      </c>
      <c r="E302" s="30" t="s">
        <v>2151</v>
      </c>
      <c r="F302" s="30">
        <v>200</v>
      </c>
      <c r="G302" s="30">
        <v>300</v>
      </c>
      <c r="H302" s="30">
        <v>100</v>
      </c>
      <c r="I302" s="71">
        <v>10</v>
      </c>
      <c r="J302" s="30" t="s">
        <v>2152</v>
      </c>
      <c r="K302" s="30" t="s">
        <v>2097</v>
      </c>
      <c r="M302" s="32" t="b">
        <v>0</v>
      </c>
      <c r="N302" s="32" t="b">
        <v>0</v>
      </c>
      <c r="O302" s="30">
        <v>0</v>
      </c>
      <c r="P302" s="30" t="s">
        <v>666</v>
      </c>
      <c r="Q302" s="30" t="s">
        <v>2153</v>
      </c>
      <c r="R302" s="30" t="s">
        <v>43</v>
      </c>
      <c r="S302" s="30" t="s">
        <v>1737</v>
      </c>
      <c r="T302" s="72" t="s">
        <v>33</v>
      </c>
      <c r="U302" s="72" t="s">
        <v>33</v>
      </c>
      <c r="V302" s="72" t="s">
        <v>1470</v>
      </c>
      <c r="W302" s="30" t="s">
        <v>35</v>
      </c>
      <c r="X302" s="30" t="s">
        <v>1544</v>
      </c>
      <c r="Y302" s="73" t="s">
        <v>2154</v>
      </c>
    </row>
    <row r="303" spans="1:25" x14ac:dyDescent="0.2">
      <c r="A303" s="74">
        <v>302</v>
      </c>
      <c r="B303" s="21" t="s">
        <v>2155</v>
      </c>
      <c r="C303" s="21" t="s">
        <v>2156</v>
      </c>
      <c r="D303" s="21" t="s">
        <v>78</v>
      </c>
      <c r="E303" s="21" t="s">
        <v>2157</v>
      </c>
      <c r="F303" s="21">
        <v>150</v>
      </c>
      <c r="G303" s="21">
        <v>300</v>
      </c>
      <c r="H303" s="21">
        <v>80</v>
      </c>
      <c r="I303" s="75">
        <v>10</v>
      </c>
      <c r="J303" s="21" t="s">
        <v>2158</v>
      </c>
      <c r="M303" s="76" t="b">
        <v>0</v>
      </c>
      <c r="N303" s="76" t="b">
        <v>0</v>
      </c>
      <c r="O303" s="21">
        <v>0</v>
      </c>
      <c r="P303" s="21" t="s">
        <v>666</v>
      </c>
      <c r="R303" s="21" t="s">
        <v>43</v>
      </c>
      <c r="S303" s="21" t="s">
        <v>1737</v>
      </c>
      <c r="T303" s="77" t="s">
        <v>33</v>
      </c>
      <c r="U303" s="77" t="s">
        <v>33</v>
      </c>
      <c r="V303" s="77" t="s">
        <v>1470</v>
      </c>
      <c r="W303" s="21" t="s">
        <v>35</v>
      </c>
      <c r="X303" s="21" t="s">
        <v>1544</v>
      </c>
      <c r="Y303" s="78" t="s">
        <v>2159</v>
      </c>
    </row>
    <row r="304" spans="1:25" x14ac:dyDescent="0.2">
      <c r="A304" s="70">
        <v>303</v>
      </c>
      <c r="B304" s="30" t="s">
        <v>2160</v>
      </c>
      <c r="C304" s="30" t="s">
        <v>2161</v>
      </c>
      <c r="D304" s="30" t="s">
        <v>95</v>
      </c>
      <c r="E304" s="30" t="s">
        <v>2162</v>
      </c>
      <c r="F304" s="30">
        <v>100</v>
      </c>
      <c r="G304" s="30">
        <v>300</v>
      </c>
      <c r="H304" s="30">
        <v>50</v>
      </c>
      <c r="I304" s="71">
        <v>10</v>
      </c>
      <c r="J304" s="30" t="s">
        <v>2163</v>
      </c>
      <c r="L304" s="30" t="s">
        <v>2164</v>
      </c>
      <c r="M304" s="32" t="b">
        <v>0</v>
      </c>
      <c r="N304" s="32" t="b">
        <v>0</v>
      </c>
      <c r="O304" s="30">
        <v>0</v>
      </c>
      <c r="P304" s="30" t="s">
        <v>666</v>
      </c>
      <c r="Q304" s="30" t="s">
        <v>2165</v>
      </c>
      <c r="R304" s="30" t="s">
        <v>62</v>
      </c>
      <c r="S304" s="30" t="s">
        <v>1737</v>
      </c>
      <c r="T304" s="72" t="s">
        <v>33</v>
      </c>
      <c r="U304" s="72" t="s">
        <v>33</v>
      </c>
      <c r="V304" s="72" t="s">
        <v>1470</v>
      </c>
      <c r="W304" s="30" t="s">
        <v>111</v>
      </c>
      <c r="X304" s="30" t="s">
        <v>1544</v>
      </c>
      <c r="Y304" s="73" t="s">
        <v>2166</v>
      </c>
    </row>
    <row r="305" spans="1:25" x14ac:dyDescent="0.2">
      <c r="A305" s="74">
        <v>304</v>
      </c>
      <c r="B305" s="21" t="s">
        <v>2167</v>
      </c>
      <c r="C305" s="21" t="s">
        <v>2167</v>
      </c>
      <c r="D305" s="21" t="s">
        <v>216</v>
      </c>
      <c r="E305" s="21" t="s">
        <v>2168</v>
      </c>
      <c r="F305" s="21">
        <v>300</v>
      </c>
      <c r="G305" s="21">
        <v>300</v>
      </c>
      <c r="H305" s="21">
        <v>60</v>
      </c>
      <c r="I305" s="75">
        <v>7.5</v>
      </c>
      <c r="J305" s="21" t="s">
        <v>2169</v>
      </c>
      <c r="K305" s="21" t="s">
        <v>2097</v>
      </c>
      <c r="L305" s="21" t="s">
        <v>2170</v>
      </c>
      <c r="M305" s="76" t="b">
        <v>0</v>
      </c>
      <c r="N305" s="76" t="b">
        <v>0</v>
      </c>
      <c r="O305" s="21">
        <v>0</v>
      </c>
      <c r="P305" s="21" t="s">
        <v>666</v>
      </c>
      <c r="Q305" s="21" t="s">
        <v>226</v>
      </c>
      <c r="R305" s="21" t="s">
        <v>52</v>
      </c>
      <c r="S305" s="21" t="s">
        <v>1737</v>
      </c>
      <c r="T305" s="77" t="s">
        <v>33</v>
      </c>
      <c r="U305" s="77" t="s">
        <v>33</v>
      </c>
      <c r="V305" s="77" t="s">
        <v>1470</v>
      </c>
      <c r="W305" s="21" t="s">
        <v>35</v>
      </c>
      <c r="X305" s="21" t="s">
        <v>1544</v>
      </c>
      <c r="Y305" s="78" t="s">
        <v>2171</v>
      </c>
    </row>
    <row r="306" spans="1:25" x14ac:dyDescent="0.2">
      <c r="A306" s="70">
        <v>305</v>
      </c>
      <c r="B306" s="30" t="s">
        <v>2172</v>
      </c>
      <c r="C306" s="30" t="s">
        <v>2173</v>
      </c>
      <c r="D306" s="30" t="s">
        <v>105</v>
      </c>
      <c r="E306" s="30" t="s">
        <v>2174</v>
      </c>
      <c r="F306" s="30">
        <v>150</v>
      </c>
      <c r="G306" s="30">
        <v>300</v>
      </c>
      <c r="H306" s="30">
        <v>50</v>
      </c>
      <c r="I306" s="71">
        <v>5</v>
      </c>
      <c r="J306" s="30" t="s">
        <v>2175</v>
      </c>
      <c r="K306" s="30" t="s">
        <v>2014</v>
      </c>
      <c r="L306" s="30" t="s">
        <v>2176</v>
      </c>
      <c r="M306" s="32" t="b">
        <v>0</v>
      </c>
      <c r="N306" s="32" t="b">
        <v>0</v>
      </c>
      <c r="O306" s="30">
        <v>0</v>
      </c>
      <c r="P306" s="30" t="s">
        <v>666</v>
      </c>
      <c r="R306" s="30" t="s">
        <v>72</v>
      </c>
      <c r="S306" s="30" t="s">
        <v>1737</v>
      </c>
      <c r="T306" s="72" t="s">
        <v>33</v>
      </c>
      <c r="U306" s="72" t="s">
        <v>33</v>
      </c>
      <c r="V306" s="72" t="s">
        <v>1470</v>
      </c>
      <c r="W306" s="30" t="s">
        <v>111</v>
      </c>
      <c r="X306" s="30" t="s">
        <v>1544</v>
      </c>
      <c r="Y306" s="73" t="s">
        <v>2177</v>
      </c>
    </row>
    <row r="307" spans="1:25" x14ac:dyDescent="0.2">
      <c r="A307" s="74">
        <v>306</v>
      </c>
      <c r="B307" s="21" t="s">
        <v>2178</v>
      </c>
      <c r="C307" s="21" t="s">
        <v>2179</v>
      </c>
      <c r="D307" s="21" t="s">
        <v>356</v>
      </c>
      <c r="E307" s="21" t="s">
        <v>2180</v>
      </c>
      <c r="F307" s="21">
        <v>225</v>
      </c>
      <c r="G307" s="21">
        <v>300</v>
      </c>
      <c r="H307" s="21">
        <v>30</v>
      </c>
      <c r="I307" s="75">
        <v>10</v>
      </c>
      <c r="J307" s="21" t="s">
        <v>2181</v>
      </c>
      <c r="K307" s="21" t="s">
        <v>2182</v>
      </c>
      <c r="L307" s="21" t="s">
        <v>2183</v>
      </c>
      <c r="M307" s="76" t="b">
        <v>0</v>
      </c>
      <c r="N307" s="76" t="b">
        <v>0</v>
      </c>
      <c r="O307" s="21">
        <v>0</v>
      </c>
      <c r="P307" s="21" t="s">
        <v>666</v>
      </c>
      <c r="Q307" s="21" t="s">
        <v>2184</v>
      </c>
      <c r="R307" s="21" t="s">
        <v>43</v>
      </c>
      <c r="S307" s="21" t="s">
        <v>1737</v>
      </c>
      <c r="T307" s="77" t="s">
        <v>33</v>
      </c>
      <c r="U307" s="77" t="s">
        <v>33</v>
      </c>
      <c r="V307" s="77" t="s">
        <v>1470</v>
      </c>
      <c r="W307" s="21" t="s">
        <v>35</v>
      </c>
      <c r="X307" s="21" t="s">
        <v>1544</v>
      </c>
      <c r="Y307" s="78" t="s">
        <v>2185</v>
      </c>
    </row>
    <row r="308" spans="1:25" x14ac:dyDescent="0.2">
      <c r="A308" s="70">
        <v>307</v>
      </c>
      <c r="B308" s="30" t="s">
        <v>2186</v>
      </c>
      <c r="C308" s="30" t="s">
        <v>2187</v>
      </c>
      <c r="D308" s="30" t="s">
        <v>356</v>
      </c>
      <c r="E308" s="30" t="s">
        <v>2188</v>
      </c>
      <c r="F308" s="30">
        <v>50</v>
      </c>
      <c r="G308" s="30">
        <v>300</v>
      </c>
      <c r="H308" s="30">
        <v>400</v>
      </c>
      <c r="I308" s="71">
        <v>10</v>
      </c>
      <c r="J308" s="30" t="s">
        <v>2189</v>
      </c>
      <c r="K308" s="30" t="s">
        <v>2190</v>
      </c>
      <c r="M308" s="32" t="b">
        <v>0</v>
      </c>
      <c r="N308" s="32" t="b">
        <v>0</v>
      </c>
      <c r="O308" s="30">
        <v>0</v>
      </c>
      <c r="P308" s="30" t="s">
        <v>666</v>
      </c>
      <c r="Q308" s="30" t="s">
        <v>2191</v>
      </c>
      <c r="R308" s="30" t="s">
        <v>740</v>
      </c>
      <c r="S308" s="30" t="s">
        <v>1737</v>
      </c>
      <c r="T308" s="72" t="s">
        <v>33</v>
      </c>
      <c r="U308" s="72" t="s">
        <v>33</v>
      </c>
      <c r="V308" s="72" t="s">
        <v>2192</v>
      </c>
      <c r="W308" s="30" t="s">
        <v>35</v>
      </c>
      <c r="X308" s="30" t="s">
        <v>1544</v>
      </c>
      <c r="Y308" s="73" t="s">
        <v>2193</v>
      </c>
    </row>
    <row r="309" spans="1:25" x14ac:dyDescent="0.2">
      <c r="A309" s="74">
        <v>308</v>
      </c>
      <c r="B309" s="21" t="s">
        <v>2194</v>
      </c>
      <c r="C309" s="21" t="s">
        <v>2195</v>
      </c>
      <c r="D309" s="21" t="s">
        <v>105</v>
      </c>
      <c r="E309" s="21" t="s">
        <v>2196</v>
      </c>
      <c r="F309" s="21">
        <v>225</v>
      </c>
      <c r="G309" s="21">
        <v>300</v>
      </c>
      <c r="H309" s="21">
        <v>100</v>
      </c>
      <c r="I309" s="75">
        <v>10</v>
      </c>
      <c r="J309" s="21" t="s">
        <v>2197</v>
      </c>
      <c r="L309" s="21" t="s">
        <v>2198</v>
      </c>
      <c r="M309" s="76" t="b">
        <v>0</v>
      </c>
      <c r="N309" s="76" t="b">
        <v>0</v>
      </c>
      <c r="O309" s="21">
        <v>0</v>
      </c>
      <c r="P309" s="21" t="s">
        <v>666</v>
      </c>
      <c r="R309" s="21" t="s">
        <v>62</v>
      </c>
      <c r="S309" s="21" t="s">
        <v>1737</v>
      </c>
      <c r="T309" s="77" t="s">
        <v>33</v>
      </c>
      <c r="U309" s="77" t="s">
        <v>33</v>
      </c>
      <c r="V309" s="77" t="s">
        <v>1470</v>
      </c>
      <c r="W309" s="21" t="s">
        <v>35</v>
      </c>
      <c r="X309" s="21" t="s">
        <v>1544</v>
      </c>
      <c r="Y309" s="78" t="s">
        <v>2199</v>
      </c>
    </row>
    <row r="310" spans="1:25" x14ac:dyDescent="0.2">
      <c r="A310" s="70">
        <v>309</v>
      </c>
      <c r="B310" s="30" t="s">
        <v>2200</v>
      </c>
      <c r="C310" s="30" t="s">
        <v>2201</v>
      </c>
      <c r="D310" s="30" t="s">
        <v>356</v>
      </c>
      <c r="E310" s="30" t="s">
        <v>2202</v>
      </c>
      <c r="F310" s="30">
        <v>50</v>
      </c>
      <c r="G310" s="30">
        <v>300</v>
      </c>
      <c r="H310" s="30">
        <v>900</v>
      </c>
      <c r="I310" s="71">
        <v>10</v>
      </c>
      <c r="J310" s="30" t="s">
        <v>2203</v>
      </c>
      <c r="K310" s="30" t="s">
        <v>2204</v>
      </c>
      <c r="M310" s="32" t="b">
        <v>0</v>
      </c>
      <c r="N310" s="32" t="b">
        <v>0</v>
      </c>
      <c r="O310" s="30">
        <v>0</v>
      </c>
      <c r="P310" s="30" t="s">
        <v>666</v>
      </c>
      <c r="Q310" s="30" t="s">
        <v>2205</v>
      </c>
      <c r="R310" s="30" t="s">
        <v>43</v>
      </c>
      <c r="S310" s="30" t="s">
        <v>1737</v>
      </c>
      <c r="T310" s="72" t="s">
        <v>33</v>
      </c>
      <c r="U310" s="72" t="s">
        <v>33</v>
      </c>
      <c r="V310" s="72" t="s">
        <v>2206</v>
      </c>
      <c r="W310" s="30" t="s">
        <v>35</v>
      </c>
      <c r="X310" s="30" t="s">
        <v>1544</v>
      </c>
      <c r="Y310" s="73" t="s">
        <v>2207</v>
      </c>
    </row>
    <row r="311" spans="1:25" x14ac:dyDescent="0.2">
      <c r="A311" s="74">
        <v>310</v>
      </c>
      <c r="B311" s="21" t="s">
        <v>2208</v>
      </c>
      <c r="C311" s="21" t="s">
        <v>2209</v>
      </c>
      <c r="D311" s="21" t="s">
        <v>95</v>
      </c>
      <c r="E311" s="21" t="s">
        <v>2210</v>
      </c>
      <c r="F311" s="21">
        <v>75</v>
      </c>
      <c r="G311" s="21">
        <v>300</v>
      </c>
      <c r="H311" s="21">
        <v>0</v>
      </c>
      <c r="I311" s="75">
        <v>10</v>
      </c>
      <c r="J311" s="21" t="s">
        <v>2211</v>
      </c>
      <c r="K311" s="21" t="s">
        <v>2212</v>
      </c>
      <c r="M311" s="76" t="b">
        <v>0</v>
      </c>
      <c r="N311" s="76" t="b">
        <v>0</v>
      </c>
      <c r="O311" s="21">
        <v>0</v>
      </c>
      <c r="P311" s="21" t="s">
        <v>666</v>
      </c>
      <c r="Q311" s="21" t="s">
        <v>2213</v>
      </c>
      <c r="R311" s="21" t="s">
        <v>43</v>
      </c>
      <c r="S311" s="21" t="s">
        <v>1737</v>
      </c>
      <c r="T311" s="77" t="s">
        <v>33</v>
      </c>
      <c r="U311" s="77" t="s">
        <v>33</v>
      </c>
      <c r="V311" s="77" t="s">
        <v>2214</v>
      </c>
      <c r="W311" s="21" t="s">
        <v>360</v>
      </c>
      <c r="X311" s="21" t="s">
        <v>1544</v>
      </c>
      <c r="Y311" s="78" t="s">
        <v>2215</v>
      </c>
    </row>
    <row r="312" spans="1:25" x14ac:dyDescent="0.2">
      <c r="A312" s="70">
        <v>311</v>
      </c>
      <c r="B312" s="30" t="s">
        <v>2216</v>
      </c>
      <c r="C312" s="30" t="s">
        <v>2217</v>
      </c>
      <c r="D312" s="30" t="s">
        <v>68</v>
      </c>
      <c r="E312" s="30" t="s">
        <v>2218</v>
      </c>
      <c r="F312" s="30">
        <v>250</v>
      </c>
      <c r="G312" s="30">
        <v>300</v>
      </c>
      <c r="H312" s="30">
        <v>50</v>
      </c>
      <c r="I312" s="71">
        <v>7.5</v>
      </c>
      <c r="J312" s="30" t="s">
        <v>2219</v>
      </c>
      <c r="M312" s="32" t="b">
        <v>0</v>
      </c>
      <c r="N312" s="32" t="b">
        <v>0</v>
      </c>
      <c r="O312" s="30">
        <v>0</v>
      </c>
      <c r="P312" s="30" t="s">
        <v>666</v>
      </c>
      <c r="Q312" s="30" t="s">
        <v>2220</v>
      </c>
      <c r="R312" s="30" t="s">
        <v>43</v>
      </c>
      <c r="S312" s="30" t="s">
        <v>1737</v>
      </c>
      <c r="T312" s="72" t="s">
        <v>33</v>
      </c>
      <c r="U312" s="72" t="s">
        <v>33</v>
      </c>
      <c r="V312" s="72" t="s">
        <v>2221</v>
      </c>
      <c r="W312" s="30" t="s">
        <v>35</v>
      </c>
      <c r="X312" s="30" t="s">
        <v>1544</v>
      </c>
      <c r="Y312" s="73" t="s">
        <v>2222</v>
      </c>
    </row>
    <row r="313" spans="1:25" x14ac:dyDescent="0.2">
      <c r="A313" s="74">
        <v>312</v>
      </c>
      <c r="B313" s="21" t="s">
        <v>2223</v>
      </c>
      <c r="C313" s="21" t="s">
        <v>2224</v>
      </c>
      <c r="D313" s="21" t="s">
        <v>78</v>
      </c>
      <c r="E313" s="21" t="s">
        <v>2225</v>
      </c>
      <c r="F313" s="21">
        <v>250</v>
      </c>
      <c r="G313" s="21">
        <v>300</v>
      </c>
      <c r="H313" s="21">
        <v>80</v>
      </c>
      <c r="I313" s="75">
        <v>6.5</v>
      </c>
      <c r="J313" s="21" t="s">
        <v>2226</v>
      </c>
      <c r="M313" s="76" t="b">
        <v>0</v>
      </c>
      <c r="N313" s="76" t="b">
        <v>0</v>
      </c>
      <c r="O313" s="21">
        <v>0</v>
      </c>
      <c r="P313" s="21" t="s">
        <v>666</v>
      </c>
      <c r="R313" s="21" t="s">
        <v>740</v>
      </c>
      <c r="S313" s="21" t="s">
        <v>1737</v>
      </c>
      <c r="T313" s="77" t="s">
        <v>33</v>
      </c>
      <c r="U313" s="77" t="s">
        <v>33</v>
      </c>
      <c r="V313" s="77" t="s">
        <v>2227</v>
      </c>
      <c r="W313" s="21" t="s">
        <v>35</v>
      </c>
      <c r="X313" s="21" t="s">
        <v>1544</v>
      </c>
      <c r="Y313" s="78" t="s">
        <v>2228</v>
      </c>
    </row>
    <row r="314" spans="1:25" x14ac:dyDescent="0.2">
      <c r="A314" s="70">
        <v>313</v>
      </c>
      <c r="B314" s="30" t="s">
        <v>2229</v>
      </c>
      <c r="C314" s="30" t="s">
        <v>2230</v>
      </c>
      <c r="D314" s="30" t="s">
        <v>40</v>
      </c>
      <c r="E314" s="30" t="s">
        <v>2231</v>
      </c>
      <c r="F314" s="30">
        <v>50</v>
      </c>
      <c r="G314" s="30">
        <v>1000</v>
      </c>
      <c r="H314" s="30">
        <v>0</v>
      </c>
      <c r="I314" s="71">
        <v>10</v>
      </c>
      <c r="J314" s="30" t="s">
        <v>2232</v>
      </c>
      <c r="M314" s="32" t="b">
        <v>0</v>
      </c>
      <c r="N314" s="32" t="b">
        <v>0</v>
      </c>
      <c r="O314" s="30">
        <v>50</v>
      </c>
      <c r="P314" s="30" t="s">
        <v>666</v>
      </c>
      <c r="Q314" s="30" t="s">
        <v>269</v>
      </c>
      <c r="R314" s="30" t="s">
        <v>72</v>
      </c>
      <c r="S314" s="30" t="s">
        <v>1737</v>
      </c>
      <c r="T314" s="72" t="s">
        <v>33</v>
      </c>
      <c r="U314" s="72" t="s">
        <v>33</v>
      </c>
      <c r="V314" s="72" t="s">
        <v>2233</v>
      </c>
      <c r="W314" s="30" t="s">
        <v>45</v>
      </c>
      <c r="X314" s="30" t="s">
        <v>1544</v>
      </c>
      <c r="Y314" s="73" t="s">
        <v>2234</v>
      </c>
    </row>
    <row r="315" spans="1:25" x14ac:dyDescent="0.2">
      <c r="A315" s="74">
        <v>314</v>
      </c>
      <c r="B315" s="21" t="s">
        <v>2235</v>
      </c>
      <c r="C315" s="21" t="s">
        <v>2236</v>
      </c>
      <c r="D315" s="21" t="s">
        <v>105</v>
      </c>
      <c r="E315" s="21" t="s">
        <v>2237</v>
      </c>
      <c r="F315" s="21">
        <v>200</v>
      </c>
      <c r="G315" s="21">
        <v>300</v>
      </c>
      <c r="H315" s="21">
        <v>60</v>
      </c>
      <c r="I315" s="75">
        <v>5</v>
      </c>
      <c r="J315" s="21" t="s">
        <v>2238</v>
      </c>
      <c r="M315" s="76" t="b">
        <v>0</v>
      </c>
      <c r="N315" s="76" t="b">
        <v>0</v>
      </c>
      <c r="O315" s="21">
        <v>0</v>
      </c>
      <c r="P315" s="21" t="s">
        <v>666</v>
      </c>
      <c r="Q315" s="21" t="s">
        <v>2239</v>
      </c>
      <c r="R315" s="21" t="s">
        <v>43</v>
      </c>
      <c r="S315" s="21" t="s">
        <v>1737</v>
      </c>
      <c r="T315" s="77" t="s">
        <v>33</v>
      </c>
      <c r="U315" s="77" t="s">
        <v>33</v>
      </c>
      <c r="V315" s="77" t="s">
        <v>2240</v>
      </c>
      <c r="W315" s="21" t="s">
        <v>35</v>
      </c>
      <c r="X315" s="21" t="s">
        <v>1544</v>
      </c>
      <c r="Y315" s="78" t="s">
        <v>2241</v>
      </c>
    </row>
    <row r="316" spans="1:25" x14ac:dyDescent="0.2">
      <c r="A316" s="70">
        <v>315</v>
      </c>
      <c r="B316" s="30" t="s">
        <v>2242</v>
      </c>
      <c r="C316" s="30" t="s">
        <v>2243</v>
      </c>
      <c r="D316" s="30" t="s">
        <v>27</v>
      </c>
      <c r="E316" s="30" t="s">
        <v>2244</v>
      </c>
      <c r="F316" s="30">
        <v>200</v>
      </c>
      <c r="G316" s="30">
        <v>300</v>
      </c>
      <c r="H316" s="30">
        <v>35</v>
      </c>
      <c r="I316" s="71">
        <v>7.5</v>
      </c>
      <c r="J316" s="30" t="s">
        <v>2245</v>
      </c>
      <c r="M316" s="32" t="b">
        <v>0</v>
      </c>
      <c r="N316" s="32" t="b">
        <v>0</v>
      </c>
      <c r="O316" s="30">
        <v>0</v>
      </c>
      <c r="P316" s="30" t="s">
        <v>666</v>
      </c>
      <c r="R316" s="30" t="s">
        <v>43</v>
      </c>
      <c r="S316" s="30" t="s">
        <v>1737</v>
      </c>
      <c r="T316" s="72" t="s">
        <v>33</v>
      </c>
      <c r="U316" s="72" t="s">
        <v>33</v>
      </c>
      <c r="V316" s="72" t="s">
        <v>1470</v>
      </c>
      <c r="W316" s="30" t="s">
        <v>35</v>
      </c>
      <c r="X316" s="30" t="s">
        <v>1544</v>
      </c>
      <c r="Y316" s="73" t="s">
        <v>2246</v>
      </c>
    </row>
    <row r="317" spans="1:25" x14ac:dyDescent="0.2">
      <c r="A317" s="74">
        <v>316</v>
      </c>
      <c r="B317" s="21" t="s">
        <v>2247</v>
      </c>
      <c r="C317" s="21" t="s">
        <v>2248</v>
      </c>
      <c r="D317" s="21" t="s">
        <v>78</v>
      </c>
      <c r="E317" s="21" t="s">
        <v>2249</v>
      </c>
      <c r="F317" s="21">
        <v>200</v>
      </c>
      <c r="G317" s="21">
        <v>300</v>
      </c>
      <c r="H317" s="21">
        <v>5</v>
      </c>
      <c r="I317" s="75">
        <v>7.5</v>
      </c>
      <c r="J317" s="21" t="s">
        <v>2250</v>
      </c>
      <c r="M317" s="76" t="b">
        <v>0</v>
      </c>
      <c r="N317" s="76" t="b">
        <v>0</v>
      </c>
      <c r="O317" s="21">
        <v>0</v>
      </c>
      <c r="P317" s="21" t="s">
        <v>666</v>
      </c>
      <c r="R317" s="21" t="s">
        <v>62</v>
      </c>
      <c r="S317" s="21" t="s">
        <v>1737</v>
      </c>
      <c r="T317" s="77" t="s">
        <v>33</v>
      </c>
      <c r="U317" s="77" t="s">
        <v>33</v>
      </c>
      <c r="V317" s="77" t="s">
        <v>1470</v>
      </c>
      <c r="W317" s="21" t="s">
        <v>35</v>
      </c>
      <c r="X317" s="21" t="s">
        <v>1544</v>
      </c>
      <c r="Y317" s="78" t="s">
        <v>2251</v>
      </c>
    </row>
    <row r="318" spans="1:25" x14ac:dyDescent="0.2">
      <c r="A318" s="70">
        <v>317</v>
      </c>
      <c r="B318" s="30" t="s">
        <v>2252</v>
      </c>
      <c r="C318" s="30" t="s">
        <v>2253</v>
      </c>
      <c r="D318" s="30" t="s">
        <v>356</v>
      </c>
      <c r="E318" s="30" t="s">
        <v>2254</v>
      </c>
      <c r="F318" s="30">
        <v>200</v>
      </c>
      <c r="G318" s="30">
        <v>300</v>
      </c>
      <c r="H318" s="30">
        <v>30</v>
      </c>
      <c r="I318" s="71">
        <v>10</v>
      </c>
      <c r="J318" s="30" t="s">
        <v>2255</v>
      </c>
      <c r="M318" s="32" t="b">
        <v>0</v>
      </c>
      <c r="N318" s="32" t="b">
        <v>0</v>
      </c>
      <c r="O318" s="30">
        <v>0</v>
      </c>
      <c r="P318" s="30" t="s">
        <v>666</v>
      </c>
      <c r="Q318" s="30" t="s">
        <v>157</v>
      </c>
      <c r="R318" s="30" t="s">
        <v>531</v>
      </c>
      <c r="S318" s="30" t="s">
        <v>1737</v>
      </c>
      <c r="T318" s="72" t="s">
        <v>33</v>
      </c>
      <c r="U318" s="72" t="s">
        <v>33</v>
      </c>
      <c r="V318" s="72" t="s">
        <v>2256</v>
      </c>
      <c r="W318" s="30" t="s">
        <v>35</v>
      </c>
      <c r="X318" s="30" t="s">
        <v>1544</v>
      </c>
      <c r="Y318" s="73" t="s">
        <v>2257</v>
      </c>
    </row>
    <row r="319" spans="1:25" x14ac:dyDescent="0.2">
      <c r="A319" s="74">
        <v>318</v>
      </c>
      <c r="B319" s="21" t="s">
        <v>2258</v>
      </c>
      <c r="C319" s="21" t="s">
        <v>2259</v>
      </c>
      <c r="D319" s="21" t="s">
        <v>78</v>
      </c>
      <c r="E319" s="21" t="s">
        <v>2260</v>
      </c>
      <c r="F319" s="21">
        <v>200</v>
      </c>
      <c r="G319" s="21">
        <v>300</v>
      </c>
      <c r="H319" s="21">
        <v>60</v>
      </c>
      <c r="I319" s="75">
        <v>7.5</v>
      </c>
      <c r="J319" s="21" t="s">
        <v>2261</v>
      </c>
      <c r="M319" s="76" t="b">
        <v>0</v>
      </c>
      <c r="N319" s="76" t="b">
        <v>0</v>
      </c>
      <c r="O319" s="21">
        <v>0</v>
      </c>
      <c r="P319" s="21" t="s">
        <v>666</v>
      </c>
      <c r="Q319" s="21" t="s">
        <v>2262</v>
      </c>
      <c r="R319" s="21" t="s">
        <v>43</v>
      </c>
      <c r="S319" s="21" t="s">
        <v>1737</v>
      </c>
      <c r="T319" s="77" t="s">
        <v>33</v>
      </c>
      <c r="U319" s="77" t="s">
        <v>33</v>
      </c>
      <c r="V319" s="77" t="s">
        <v>2263</v>
      </c>
      <c r="W319" s="21" t="s">
        <v>111</v>
      </c>
      <c r="X319" s="21" t="s">
        <v>1544</v>
      </c>
      <c r="Y319" s="78" t="s">
        <v>2264</v>
      </c>
    </row>
    <row r="320" spans="1:25" x14ac:dyDescent="0.2">
      <c r="A320" s="70">
        <v>319</v>
      </c>
      <c r="B320" s="30" t="s">
        <v>2265</v>
      </c>
      <c r="C320" s="30" t="s">
        <v>2266</v>
      </c>
      <c r="D320" s="30" t="s">
        <v>216</v>
      </c>
      <c r="E320" s="30" t="s">
        <v>2267</v>
      </c>
      <c r="F320" s="30">
        <v>125</v>
      </c>
      <c r="G320" s="30">
        <v>300</v>
      </c>
      <c r="H320" s="30">
        <v>50</v>
      </c>
      <c r="I320" s="71">
        <v>5</v>
      </c>
      <c r="J320" s="30" t="s">
        <v>2268</v>
      </c>
      <c r="M320" s="32" t="b">
        <v>0</v>
      </c>
      <c r="N320" s="32" t="b">
        <v>0</v>
      </c>
      <c r="O320" s="30">
        <v>0</v>
      </c>
      <c r="P320" s="30" t="s">
        <v>666</v>
      </c>
      <c r="Q320" s="30" t="s">
        <v>219</v>
      </c>
      <c r="R320" s="30" t="s">
        <v>43</v>
      </c>
      <c r="S320" s="30" t="s">
        <v>1737</v>
      </c>
      <c r="T320" s="72" t="s">
        <v>33</v>
      </c>
      <c r="U320" s="72" t="s">
        <v>33</v>
      </c>
      <c r="V320" s="72" t="s">
        <v>2269</v>
      </c>
      <c r="W320" s="30" t="s">
        <v>35</v>
      </c>
      <c r="X320" s="30" t="s">
        <v>1544</v>
      </c>
      <c r="Y320" s="73" t="s">
        <v>2270</v>
      </c>
    </row>
    <row r="321" spans="1:25" x14ac:dyDescent="0.2">
      <c r="A321" s="74">
        <v>320</v>
      </c>
      <c r="B321" s="21" t="s">
        <v>2271</v>
      </c>
      <c r="C321" s="21" t="s">
        <v>2272</v>
      </c>
      <c r="D321" s="21" t="s">
        <v>356</v>
      </c>
      <c r="E321" s="21" t="s">
        <v>2273</v>
      </c>
      <c r="F321" s="21">
        <v>100</v>
      </c>
      <c r="G321" s="21">
        <v>300</v>
      </c>
      <c r="H321" s="21">
        <v>200</v>
      </c>
      <c r="I321" s="75">
        <v>5</v>
      </c>
      <c r="J321" s="21" t="s">
        <v>2274</v>
      </c>
      <c r="M321" s="76" t="b">
        <v>0</v>
      </c>
      <c r="N321" s="76" t="b">
        <v>0</v>
      </c>
      <c r="O321" s="21">
        <v>0</v>
      </c>
      <c r="P321" s="21" t="s">
        <v>666</v>
      </c>
      <c r="Q321" s="21" t="s">
        <v>2213</v>
      </c>
      <c r="R321" s="21" t="s">
        <v>43</v>
      </c>
      <c r="S321" s="21" t="s">
        <v>1737</v>
      </c>
      <c r="T321" s="77" t="s">
        <v>33</v>
      </c>
      <c r="U321" s="77" t="s">
        <v>33</v>
      </c>
      <c r="V321" s="77" t="s">
        <v>2275</v>
      </c>
      <c r="W321" s="21" t="s">
        <v>111</v>
      </c>
      <c r="X321" s="21" t="s">
        <v>1544</v>
      </c>
      <c r="Y321" s="78" t="s">
        <v>2276</v>
      </c>
    </row>
    <row r="322" spans="1:25" x14ac:dyDescent="0.2">
      <c r="A322" s="70">
        <v>321</v>
      </c>
      <c r="B322" s="30" t="s">
        <v>2277</v>
      </c>
      <c r="C322" s="30" t="s">
        <v>2278</v>
      </c>
      <c r="D322" s="30" t="s">
        <v>105</v>
      </c>
      <c r="E322" s="30" t="s">
        <v>2279</v>
      </c>
      <c r="F322" s="30">
        <v>250</v>
      </c>
      <c r="G322" s="30">
        <v>300</v>
      </c>
      <c r="H322" s="30">
        <v>15</v>
      </c>
      <c r="I322" s="71">
        <v>8</v>
      </c>
      <c r="J322" s="30" t="s">
        <v>2280</v>
      </c>
      <c r="M322" s="32" t="b">
        <v>0</v>
      </c>
      <c r="N322" s="32" t="b">
        <v>0</v>
      </c>
      <c r="O322" s="30">
        <v>0</v>
      </c>
      <c r="P322" s="30" t="s">
        <v>666</v>
      </c>
      <c r="Q322" s="30" t="s">
        <v>847</v>
      </c>
      <c r="R322" s="30" t="s">
        <v>43</v>
      </c>
      <c r="S322" s="30" t="s">
        <v>1737</v>
      </c>
      <c r="T322" s="72" t="s">
        <v>33</v>
      </c>
      <c r="U322" s="72" t="s">
        <v>33</v>
      </c>
      <c r="V322" s="72" t="s">
        <v>2281</v>
      </c>
      <c r="W322" s="30" t="s">
        <v>35</v>
      </c>
      <c r="X322" s="30" t="s">
        <v>1544</v>
      </c>
      <c r="Y322" s="73" t="s">
        <v>2282</v>
      </c>
    </row>
    <row r="323" spans="1:25" x14ac:dyDescent="0.2">
      <c r="A323" s="74">
        <v>322</v>
      </c>
      <c r="B323" s="21" t="s">
        <v>2283</v>
      </c>
      <c r="C323" s="21" t="s">
        <v>2284</v>
      </c>
      <c r="D323" s="21" t="s">
        <v>135</v>
      </c>
      <c r="E323" s="21" t="s">
        <v>2285</v>
      </c>
      <c r="F323" s="21">
        <v>200</v>
      </c>
      <c r="G323" s="21">
        <v>300</v>
      </c>
      <c r="H323" s="21">
        <v>50</v>
      </c>
      <c r="I323" s="75">
        <v>8</v>
      </c>
      <c r="J323" s="21" t="s">
        <v>2286</v>
      </c>
      <c r="M323" s="76" t="b">
        <v>0</v>
      </c>
      <c r="N323" s="76" t="b">
        <v>0</v>
      </c>
      <c r="O323" s="21">
        <v>0</v>
      </c>
      <c r="P323" s="21" t="s">
        <v>666</v>
      </c>
      <c r="R323" s="21" t="s">
        <v>43</v>
      </c>
      <c r="S323" s="21" t="s">
        <v>1737</v>
      </c>
      <c r="T323" s="77" t="s">
        <v>33</v>
      </c>
      <c r="U323" s="77" t="s">
        <v>33</v>
      </c>
      <c r="V323" s="77" t="s">
        <v>2287</v>
      </c>
      <c r="W323" s="21" t="s">
        <v>35</v>
      </c>
      <c r="X323" s="21" t="s">
        <v>1544</v>
      </c>
      <c r="Y323" s="78" t="s">
        <v>2288</v>
      </c>
    </row>
    <row r="324" spans="1:25" x14ac:dyDescent="0.2">
      <c r="A324" s="79">
        <v>323</v>
      </c>
      <c r="B324" s="80" t="s">
        <v>2289</v>
      </c>
      <c r="C324" s="80" t="s">
        <v>2290</v>
      </c>
      <c r="D324" s="80" t="s">
        <v>86</v>
      </c>
      <c r="E324" s="80" t="s">
        <v>2291</v>
      </c>
      <c r="F324" s="80">
        <v>250</v>
      </c>
      <c r="G324" s="80">
        <v>300</v>
      </c>
      <c r="H324" s="80">
        <v>100</v>
      </c>
      <c r="I324" s="81">
        <v>10</v>
      </c>
      <c r="J324" s="80" t="s">
        <v>2292</v>
      </c>
      <c r="L324" s="80" t="s">
        <v>2293</v>
      </c>
      <c r="M324" s="82" t="b">
        <v>0</v>
      </c>
      <c r="N324" s="82" t="b">
        <v>0</v>
      </c>
      <c r="O324" s="80">
        <v>0</v>
      </c>
      <c r="P324" s="80" t="s">
        <v>666</v>
      </c>
      <c r="Q324" s="80" t="s">
        <v>2294</v>
      </c>
      <c r="R324" s="80" t="s">
        <v>130</v>
      </c>
      <c r="S324" s="80" t="s">
        <v>1737</v>
      </c>
      <c r="T324" s="83" t="s">
        <v>33</v>
      </c>
      <c r="U324" s="83" t="s">
        <v>3274</v>
      </c>
      <c r="V324" s="83" t="s">
        <v>1470</v>
      </c>
      <c r="W324" s="80" t="s">
        <v>111</v>
      </c>
      <c r="X324" s="80" t="s">
        <v>1544</v>
      </c>
      <c r="Y324" s="84" t="s">
        <v>2295</v>
      </c>
    </row>
  </sheetData>
  <dataValidations count="8">
    <dataValidation type="list" allowBlank="1" showErrorMessage="1" sqref="W2:W324" xr:uid="{00000000-0002-0000-0600-000000000000}">
      <formula1>"Ranged,Special,Sun,Support,Tough,Vanguard"</formula1>
    </dataValidation>
    <dataValidation type="list" allowBlank="1" sqref="P2:P324" xr:uid="{00000000-0002-0000-0600-000001000000}">
      <formula1>"Common,Uncommon,Rare,Epic,Legendary,Mythical"</formula1>
    </dataValidation>
    <dataValidation type="list" allowBlank="1" sqref="X2:X324" xr:uid="{00000000-0002-0000-0600-000002000000}">
      <formula1>"PvZ,PvZ 2,PvZ 2 Chinease,PvZ Heroes,PvZ GW,PvZ GW 2,PvZA,PvZ BfN,PvZ 3"</formula1>
    </dataValidation>
    <dataValidation type="list" allowBlank="1" showDropDown="1" showErrorMessage="1" sqref="D2:D324" xr:uid="{00000000-0002-0000-0600-000003000000}">
      <formula1>"Dispara,Esclarecida,Endurecida,Bombarda,Arma,Perfura,Resfriada,Refrea,Surra,Aquecida,Envenenada,Fila,Encanta,Sombra"</formula1>
    </dataValidation>
    <dataValidation type="list" allowBlank="1" showDropDown="1" showErrorMessage="1" sqref="R2:R324" xr:uid="{00000000-0002-0000-0600-000004000000}">
      <formula1>"Pea,Flower,Nut,Root,Leaf,Fruit,Bean,Berry,Vegetable,Murshroom,Cactus,Pepper,Wood"</formula1>
    </dataValidation>
    <dataValidation type="custom" allowBlank="1" showDropDown="1" sqref="A2:A324 F2:I324 O2:O324" xr:uid="{00000000-0002-0000-0600-000005000000}">
      <formula1>AND(ISNUMBER(A2),(NOT(OR(NOT(ISERROR(DATEVALUE(A2))), AND(ISNUMBER(A2), LEFT(CELL("format", A2))="D")))))</formula1>
    </dataValidation>
    <dataValidation allowBlank="1" showDropDown="1" sqref="T2:V324" xr:uid="{00000000-0002-0000-0600-000006000000}"/>
    <dataValidation type="list" allowBlank="1" sqref="S2:S324" xr:uid="{00000000-0002-0000-0600-000007000000}">
      <formula1>"Natural,Premium,Gemium,Sementium,Origens,Adventure,Attack_zumburbia,Chinese Natural,Chinese Sementium"</formula1>
    </dataValidation>
  </dataValidations>
  <hyperlinks>
    <hyperlink ref="Y2" r:id="rId1" xr:uid="{00000000-0004-0000-0600-000000000000}"/>
    <hyperlink ref="Y3" r:id="rId2" xr:uid="{00000000-0004-0000-0600-000001000000}"/>
    <hyperlink ref="Y4" r:id="rId3" xr:uid="{00000000-0004-0000-0600-000002000000}"/>
    <hyperlink ref="Y5" r:id="rId4" xr:uid="{00000000-0004-0000-0600-000003000000}"/>
    <hyperlink ref="Y6" r:id="rId5" xr:uid="{00000000-0004-0000-0600-000004000000}"/>
    <hyperlink ref="Y7" r:id="rId6" xr:uid="{00000000-0004-0000-0600-000005000000}"/>
    <hyperlink ref="Y8" r:id="rId7" xr:uid="{00000000-0004-0000-0600-000006000000}"/>
    <hyperlink ref="Y9" r:id="rId8" xr:uid="{00000000-0004-0000-0600-000007000000}"/>
    <hyperlink ref="Y10" r:id="rId9" xr:uid="{00000000-0004-0000-0600-000008000000}"/>
    <hyperlink ref="Y11" r:id="rId10" xr:uid="{00000000-0004-0000-0600-000009000000}"/>
    <hyperlink ref="Y12" r:id="rId11" xr:uid="{00000000-0004-0000-0600-00000A000000}"/>
    <hyperlink ref="Y13" r:id="rId12" xr:uid="{00000000-0004-0000-0600-00000B000000}"/>
    <hyperlink ref="Y14" r:id="rId13" xr:uid="{00000000-0004-0000-0600-00000C000000}"/>
    <hyperlink ref="Y15" r:id="rId14" xr:uid="{00000000-0004-0000-0600-00000D000000}"/>
    <hyperlink ref="Y16" r:id="rId15" xr:uid="{00000000-0004-0000-0600-00000E000000}"/>
    <hyperlink ref="Y17" r:id="rId16" xr:uid="{00000000-0004-0000-0600-00000F000000}"/>
    <hyperlink ref="Y18" r:id="rId17" xr:uid="{00000000-0004-0000-0600-000010000000}"/>
    <hyperlink ref="Y19" r:id="rId18" xr:uid="{00000000-0004-0000-0600-000011000000}"/>
    <hyperlink ref="Y20" r:id="rId19" xr:uid="{00000000-0004-0000-0600-000012000000}"/>
    <hyperlink ref="Y21" r:id="rId20" xr:uid="{00000000-0004-0000-0600-000013000000}"/>
    <hyperlink ref="Y22" r:id="rId21" xr:uid="{00000000-0004-0000-0600-000014000000}"/>
    <hyperlink ref="Y23" r:id="rId22" xr:uid="{00000000-0004-0000-0600-000015000000}"/>
    <hyperlink ref="Y24" r:id="rId23" xr:uid="{00000000-0004-0000-0600-000016000000}"/>
    <hyperlink ref="Y25" r:id="rId24" xr:uid="{00000000-0004-0000-0600-000017000000}"/>
    <hyperlink ref="Y26" r:id="rId25" xr:uid="{00000000-0004-0000-0600-000018000000}"/>
    <hyperlink ref="Y27" r:id="rId26" xr:uid="{00000000-0004-0000-0600-000019000000}"/>
    <hyperlink ref="Y28" r:id="rId27" xr:uid="{00000000-0004-0000-0600-00001A000000}"/>
    <hyperlink ref="Y29" r:id="rId28" xr:uid="{00000000-0004-0000-0600-00001B000000}"/>
    <hyperlink ref="Y30" r:id="rId29" xr:uid="{00000000-0004-0000-0600-00001C000000}"/>
    <hyperlink ref="Y31" r:id="rId30" xr:uid="{00000000-0004-0000-0600-00001D000000}"/>
    <hyperlink ref="Y32" r:id="rId31" xr:uid="{00000000-0004-0000-0600-00001E000000}"/>
    <hyperlink ref="Y33" r:id="rId32" xr:uid="{00000000-0004-0000-0600-00001F000000}"/>
    <hyperlink ref="Y34" r:id="rId33" xr:uid="{00000000-0004-0000-0600-000020000000}"/>
    <hyperlink ref="Y35" r:id="rId34" xr:uid="{00000000-0004-0000-0600-000021000000}"/>
    <hyperlink ref="Y36" r:id="rId35" xr:uid="{00000000-0004-0000-0600-000022000000}"/>
    <hyperlink ref="Y37" r:id="rId36" xr:uid="{00000000-0004-0000-0600-000023000000}"/>
    <hyperlink ref="Y38" r:id="rId37" xr:uid="{00000000-0004-0000-0600-000024000000}"/>
    <hyperlink ref="Y39" r:id="rId38" xr:uid="{00000000-0004-0000-0600-000025000000}"/>
    <hyperlink ref="Y40" r:id="rId39" xr:uid="{00000000-0004-0000-0600-000026000000}"/>
    <hyperlink ref="Y41" r:id="rId40" xr:uid="{00000000-0004-0000-0600-000027000000}"/>
    <hyperlink ref="Y42" r:id="rId41" xr:uid="{00000000-0004-0000-0600-000028000000}"/>
    <hyperlink ref="Y43" r:id="rId42" xr:uid="{00000000-0004-0000-0600-000029000000}"/>
    <hyperlink ref="Y44" r:id="rId43" xr:uid="{00000000-0004-0000-0600-00002A000000}"/>
    <hyperlink ref="Y45" r:id="rId44" xr:uid="{00000000-0004-0000-0600-00002B000000}"/>
    <hyperlink ref="Y46" r:id="rId45" xr:uid="{00000000-0004-0000-0600-00002C000000}"/>
    <hyperlink ref="Y47" r:id="rId46" xr:uid="{00000000-0004-0000-0600-00002D000000}"/>
    <hyperlink ref="Y48" r:id="rId47" xr:uid="{00000000-0004-0000-0600-00002E000000}"/>
    <hyperlink ref="Y49" r:id="rId48" xr:uid="{00000000-0004-0000-0600-00002F000000}"/>
    <hyperlink ref="Y50" r:id="rId49" xr:uid="{00000000-0004-0000-0600-000030000000}"/>
    <hyperlink ref="Y51" r:id="rId50" xr:uid="{00000000-0004-0000-0600-000031000000}"/>
    <hyperlink ref="Y52" r:id="rId51" xr:uid="{00000000-0004-0000-0600-000032000000}"/>
    <hyperlink ref="Y53" r:id="rId52" xr:uid="{00000000-0004-0000-0600-000033000000}"/>
    <hyperlink ref="Y54" r:id="rId53" xr:uid="{00000000-0004-0000-0600-000034000000}"/>
    <hyperlink ref="Y55" r:id="rId54" xr:uid="{00000000-0004-0000-0600-000035000000}"/>
    <hyperlink ref="Y56" r:id="rId55" xr:uid="{00000000-0004-0000-0600-000036000000}"/>
    <hyperlink ref="Y57" r:id="rId56" xr:uid="{00000000-0004-0000-0600-000037000000}"/>
    <hyperlink ref="Y58" r:id="rId57" xr:uid="{00000000-0004-0000-0600-000038000000}"/>
    <hyperlink ref="Y59" r:id="rId58" xr:uid="{00000000-0004-0000-0600-000039000000}"/>
    <hyperlink ref="Y60" r:id="rId59" xr:uid="{00000000-0004-0000-0600-00003A000000}"/>
    <hyperlink ref="Y61" r:id="rId60" xr:uid="{00000000-0004-0000-0600-00003B000000}"/>
    <hyperlink ref="Y62" r:id="rId61" xr:uid="{00000000-0004-0000-0600-00003C000000}"/>
    <hyperlink ref="Y63" r:id="rId62" xr:uid="{00000000-0004-0000-0600-00003D000000}"/>
    <hyperlink ref="Y64" r:id="rId63" xr:uid="{00000000-0004-0000-0600-00003E000000}"/>
    <hyperlink ref="Y65" r:id="rId64" xr:uid="{00000000-0004-0000-0600-00003F000000}"/>
    <hyperlink ref="Y66" r:id="rId65" xr:uid="{00000000-0004-0000-0600-000040000000}"/>
    <hyperlink ref="Y67" r:id="rId66" xr:uid="{00000000-0004-0000-0600-000041000000}"/>
    <hyperlink ref="Y68" r:id="rId67" xr:uid="{00000000-0004-0000-0600-000042000000}"/>
    <hyperlink ref="Y69" r:id="rId68" xr:uid="{00000000-0004-0000-0600-000043000000}"/>
    <hyperlink ref="Y70" r:id="rId69" xr:uid="{00000000-0004-0000-0600-000044000000}"/>
    <hyperlink ref="Y71" r:id="rId70" xr:uid="{00000000-0004-0000-0600-000045000000}"/>
    <hyperlink ref="Y72" r:id="rId71" xr:uid="{00000000-0004-0000-0600-000046000000}"/>
    <hyperlink ref="Y73" r:id="rId72" xr:uid="{00000000-0004-0000-0600-000047000000}"/>
    <hyperlink ref="Y74" r:id="rId73" xr:uid="{00000000-0004-0000-0600-000048000000}"/>
    <hyperlink ref="Y75" r:id="rId74" xr:uid="{00000000-0004-0000-0600-000049000000}"/>
    <hyperlink ref="Y76" r:id="rId75" xr:uid="{00000000-0004-0000-0600-00004A000000}"/>
    <hyperlink ref="Y77" r:id="rId76" xr:uid="{00000000-0004-0000-0600-00004B000000}"/>
    <hyperlink ref="Y78" r:id="rId77" xr:uid="{00000000-0004-0000-0600-00004C000000}"/>
    <hyperlink ref="Y79" r:id="rId78" xr:uid="{00000000-0004-0000-0600-00004D000000}"/>
    <hyperlink ref="Y80" r:id="rId79" xr:uid="{00000000-0004-0000-0600-00004E000000}"/>
    <hyperlink ref="Y81" r:id="rId80" xr:uid="{00000000-0004-0000-0600-00004F000000}"/>
    <hyperlink ref="Y82" r:id="rId81" xr:uid="{00000000-0004-0000-0600-000050000000}"/>
    <hyperlink ref="Y83" r:id="rId82" xr:uid="{00000000-0004-0000-0600-000051000000}"/>
    <hyperlink ref="Y84" r:id="rId83" xr:uid="{00000000-0004-0000-0600-000052000000}"/>
    <hyperlink ref="Y85" r:id="rId84" xr:uid="{00000000-0004-0000-0600-000053000000}"/>
    <hyperlink ref="Y86" r:id="rId85" xr:uid="{00000000-0004-0000-0600-000054000000}"/>
    <hyperlink ref="Y87" r:id="rId86" xr:uid="{00000000-0004-0000-0600-000055000000}"/>
    <hyperlink ref="Y88" r:id="rId87" xr:uid="{00000000-0004-0000-0600-000056000000}"/>
    <hyperlink ref="Y89" r:id="rId88" xr:uid="{00000000-0004-0000-0600-000057000000}"/>
    <hyperlink ref="Y90" r:id="rId89" xr:uid="{00000000-0004-0000-0600-000058000000}"/>
    <hyperlink ref="Y91" r:id="rId90" xr:uid="{00000000-0004-0000-0600-000059000000}"/>
    <hyperlink ref="Y92" r:id="rId91" xr:uid="{00000000-0004-0000-0600-00005A000000}"/>
    <hyperlink ref="Y93" r:id="rId92" xr:uid="{00000000-0004-0000-0600-00005B000000}"/>
    <hyperlink ref="Y94" r:id="rId93" xr:uid="{00000000-0004-0000-0600-00005C000000}"/>
    <hyperlink ref="Y95" r:id="rId94" xr:uid="{00000000-0004-0000-0600-00005D000000}"/>
    <hyperlink ref="Y96" r:id="rId95" xr:uid="{00000000-0004-0000-0600-00005E000000}"/>
    <hyperlink ref="Y97" r:id="rId96" xr:uid="{00000000-0004-0000-0600-00005F000000}"/>
    <hyperlink ref="Y98" r:id="rId97" xr:uid="{00000000-0004-0000-0600-000060000000}"/>
    <hyperlink ref="Y99" r:id="rId98" xr:uid="{00000000-0004-0000-0600-000061000000}"/>
    <hyperlink ref="Y100" r:id="rId99" xr:uid="{00000000-0004-0000-0600-000062000000}"/>
    <hyperlink ref="Y101" r:id="rId100" xr:uid="{00000000-0004-0000-0600-000063000000}"/>
    <hyperlink ref="Y102" r:id="rId101" xr:uid="{00000000-0004-0000-0600-000064000000}"/>
    <hyperlink ref="Y103" r:id="rId102" xr:uid="{00000000-0004-0000-0600-000065000000}"/>
    <hyperlink ref="Y104" r:id="rId103" xr:uid="{00000000-0004-0000-0600-000066000000}"/>
    <hyperlink ref="Y105" r:id="rId104" xr:uid="{00000000-0004-0000-0600-000067000000}"/>
    <hyperlink ref="Y106" r:id="rId105" xr:uid="{00000000-0004-0000-0600-000068000000}"/>
    <hyperlink ref="Y107" r:id="rId106" xr:uid="{00000000-0004-0000-0600-000069000000}"/>
    <hyperlink ref="Y108" r:id="rId107" xr:uid="{00000000-0004-0000-0600-00006A000000}"/>
    <hyperlink ref="Y109" r:id="rId108" xr:uid="{00000000-0004-0000-0600-00006B000000}"/>
    <hyperlink ref="Y110" r:id="rId109" xr:uid="{00000000-0004-0000-0600-00006C000000}"/>
    <hyperlink ref="Y111" r:id="rId110" xr:uid="{00000000-0004-0000-0600-00006D000000}"/>
    <hyperlink ref="Y112" r:id="rId111" xr:uid="{00000000-0004-0000-0600-00006E000000}"/>
    <hyperlink ref="Y113" r:id="rId112" xr:uid="{00000000-0004-0000-0600-00006F000000}"/>
    <hyperlink ref="Y114" r:id="rId113" xr:uid="{00000000-0004-0000-0600-000070000000}"/>
    <hyperlink ref="Y115" r:id="rId114" xr:uid="{00000000-0004-0000-0600-000071000000}"/>
    <hyperlink ref="Y116" r:id="rId115" xr:uid="{00000000-0004-0000-0600-000072000000}"/>
    <hyperlink ref="Y117" r:id="rId116" xr:uid="{00000000-0004-0000-0600-000073000000}"/>
    <hyperlink ref="Y118" r:id="rId117" xr:uid="{00000000-0004-0000-0600-000074000000}"/>
    <hyperlink ref="Y119" r:id="rId118" xr:uid="{00000000-0004-0000-0600-000075000000}"/>
    <hyperlink ref="Y120" r:id="rId119" xr:uid="{00000000-0004-0000-0600-000076000000}"/>
    <hyperlink ref="Y121" r:id="rId120" xr:uid="{00000000-0004-0000-0600-000077000000}"/>
    <hyperlink ref="Y122" r:id="rId121" xr:uid="{00000000-0004-0000-0600-000078000000}"/>
    <hyperlink ref="Y123" r:id="rId122" xr:uid="{00000000-0004-0000-0600-000079000000}"/>
    <hyperlink ref="Y124" r:id="rId123" xr:uid="{00000000-0004-0000-0600-00007A000000}"/>
    <hyperlink ref="Y125" r:id="rId124" xr:uid="{00000000-0004-0000-0600-00007B000000}"/>
    <hyperlink ref="Y126" r:id="rId125" xr:uid="{00000000-0004-0000-0600-00007C000000}"/>
    <hyperlink ref="Y127" r:id="rId126" xr:uid="{00000000-0004-0000-0600-00007D000000}"/>
    <hyperlink ref="Y128" r:id="rId127" xr:uid="{00000000-0004-0000-0600-00007E000000}"/>
    <hyperlink ref="Y129" r:id="rId128" xr:uid="{00000000-0004-0000-0600-00007F000000}"/>
    <hyperlink ref="Y130" r:id="rId129" xr:uid="{00000000-0004-0000-0600-000080000000}"/>
    <hyperlink ref="Y131" r:id="rId130" xr:uid="{00000000-0004-0000-0600-000081000000}"/>
    <hyperlink ref="Y132" r:id="rId131" xr:uid="{00000000-0004-0000-0600-000082000000}"/>
    <hyperlink ref="Y133" r:id="rId132" xr:uid="{00000000-0004-0000-0600-000083000000}"/>
    <hyperlink ref="Y134" r:id="rId133" xr:uid="{00000000-0004-0000-0600-000084000000}"/>
    <hyperlink ref="Y135" r:id="rId134" xr:uid="{00000000-0004-0000-0600-000085000000}"/>
    <hyperlink ref="Y136" r:id="rId135" xr:uid="{00000000-0004-0000-0600-000086000000}"/>
    <hyperlink ref="Y137" r:id="rId136" xr:uid="{00000000-0004-0000-0600-000087000000}"/>
    <hyperlink ref="Y138" r:id="rId137" xr:uid="{00000000-0004-0000-0600-000088000000}"/>
    <hyperlink ref="Y139" r:id="rId138" xr:uid="{00000000-0004-0000-0600-000089000000}"/>
    <hyperlink ref="Y140" r:id="rId139" xr:uid="{00000000-0004-0000-0600-00008A000000}"/>
    <hyperlink ref="Y141" r:id="rId140" xr:uid="{00000000-0004-0000-0600-00008B000000}"/>
    <hyperlink ref="Y142" r:id="rId141" xr:uid="{00000000-0004-0000-0600-00008C000000}"/>
    <hyperlink ref="Y143" r:id="rId142" xr:uid="{00000000-0004-0000-0600-00008D000000}"/>
    <hyperlink ref="Y144" r:id="rId143" xr:uid="{00000000-0004-0000-0600-00008E000000}"/>
    <hyperlink ref="Y145" r:id="rId144" xr:uid="{00000000-0004-0000-0600-00008F000000}"/>
    <hyperlink ref="Y146" r:id="rId145" xr:uid="{00000000-0004-0000-0600-000090000000}"/>
    <hyperlink ref="Y147" r:id="rId146" xr:uid="{00000000-0004-0000-0600-000091000000}"/>
    <hyperlink ref="Y148" r:id="rId147" xr:uid="{00000000-0004-0000-0600-000092000000}"/>
    <hyperlink ref="Y149" r:id="rId148" xr:uid="{00000000-0004-0000-0600-000093000000}"/>
    <hyperlink ref="Y150" r:id="rId149" xr:uid="{00000000-0004-0000-0600-000094000000}"/>
    <hyperlink ref="Y151" r:id="rId150" xr:uid="{00000000-0004-0000-0600-000095000000}"/>
    <hyperlink ref="Y152" r:id="rId151" xr:uid="{00000000-0004-0000-0600-000096000000}"/>
    <hyperlink ref="Y153" r:id="rId152" xr:uid="{00000000-0004-0000-0600-000097000000}"/>
    <hyperlink ref="Y154" r:id="rId153" xr:uid="{00000000-0004-0000-0600-000098000000}"/>
    <hyperlink ref="Y155" r:id="rId154" xr:uid="{00000000-0004-0000-0600-000099000000}"/>
    <hyperlink ref="Y156" r:id="rId155" xr:uid="{00000000-0004-0000-0600-00009A000000}"/>
    <hyperlink ref="Y157" r:id="rId156" xr:uid="{00000000-0004-0000-0600-00009B000000}"/>
    <hyperlink ref="Y158" r:id="rId157" xr:uid="{00000000-0004-0000-0600-00009C000000}"/>
    <hyperlink ref="Y159" r:id="rId158" xr:uid="{00000000-0004-0000-0600-00009D000000}"/>
    <hyperlink ref="Y160" r:id="rId159" xr:uid="{00000000-0004-0000-0600-00009E000000}"/>
    <hyperlink ref="Y161" r:id="rId160" xr:uid="{00000000-0004-0000-0600-00009F000000}"/>
    <hyperlink ref="Y162" r:id="rId161" xr:uid="{00000000-0004-0000-0600-0000A0000000}"/>
    <hyperlink ref="Y163" r:id="rId162" xr:uid="{00000000-0004-0000-0600-0000A1000000}"/>
    <hyperlink ref="Y164" r:id="rId163" xr:uid="{00000000-0004-0000-0600-0000A2000000}"/>
    <hyperlink ref="Y165" r:id="rId164" xr:uid="{00000000-0004-0000-0600-0000A3000000}"/>
    <hyperlink ref="Y166" r:id="rId165" xr:uid="{00000000-0004-0000-0600-0000A4000000}"/>
    <hyperlink ref="Y167" r:id="rId166" xr:uid="{00000000-0004-0000-0600-0000A5000000}"/>
    <hyperlink ref="Y168" r:id="rId167" xr:uid="{00000000-0004-0000-0600-0000A6000000}"/>
    <hyperlink ref="Y169" r:id="rId168" xr:uid="{00000000-0004-0000-0600-0000A7000000}"/>
    <hyperlink ref="Y170" r:id="rId169" xr:uid="{00000000-0004-0000-0600-0000A8000000}"/>
    <hyperlink ref="Y171" r:id="rId170" xr:uid="{00000000-0004-0000-0600-0000A9000000}"/>
    <hyperlink ref="Y172" r:id="rId171" xr:uid="{00000000-0004-0000-0600-0000AA000000}"/>
    <hyperlink ref="Y173" r:id="rId172" xr:uid="{00000000-0004-0000-0600-0000AB000000}"/>
    <hyperlink ref="Y174" r:id="rId173" xr:uid="{00000000-0004-0000-0600-0000AC000000}"/>
    <hyperlink ref="Y175" r:id="rId174" xr:uid="{00000000-0004-0000-0600-0000AD000000}"/>
    <hyperlink ref="Y176" r:id="rId175" xr:uid="{00000000-0004-0000-0600-0000AE000000}"/>
    <hyperlink ref="Y177" r:id="rId176" xr:uid="{00000000-0004-0000-0600-0000AF000000}"/>
    <hyperlink ref="Y178" r:id="rId177" xr:uid="{00000000-0004-0000-0600-0000B0000000}"/>
    <hyperlink ref="Y179" r:id="rId178" xr:uid="{00000000-0004-0000-0600-0000B1000000}"/>
    <hyperlink ref="Y180" r:id="rId179" xr:uid="{00000000-0004-0000-0600-0000B2000000}"/>
    <hyperlink ref="Y181" r:id="rId180" xr:uid="{00000000-0004-0000-0600-0000B3000000}"/>
    <hyperlink ref="Y182" r:id="rId181" xr:uid="{00000000-0004-0000-0600-0000B4000000}"/>
    <hyperlink ref="Y183" r:id="rId182" xr:uid="{00000000-0004-0000-0600-0000B5000000}"/>
    <hyperlink ref="Y184" r:id="rId183" xr:uid="{00000000-0004-0000-0600-0000B6000000}"/>
    <hyperlink ref="Y185" r:id="rId184" xr:uid="{00000000-0004-0000-0600-0000B7000000}"/>
    <hyperlink ref="Y186" r:id="rId185" xr:uid="{00000000-0004-0000-0600-0000B8000000}"/>
    <hyperlink ref="Y187" r:id="rId186" xr:uid="{00000000-0004-0000-0600-0000B9000000}"/>
    <hyperlink ref="Y188" r:id="rId187" xr:uid="{00000000-0004-0000-0600-0000BA000000}"/>
    <hyperlink ref="Y189" r:id="rId188" xr:uid="{00000000-0004-0000-0600-0000BB000000}"/>
    <hyperlink ref="Y190" r:id="rId189" xr:uid="{00000000-0004-0000-0600-0000BC000000}"/>
    <hyperlink ref="Y191" r:id="rId190" xr:uid="{00000000-0004-0000-0600-0000BD000000}"/>
    <hyperlink ref="Y192" r:id="rId191" xr:uid="{00000000-0004-0000-0600-0000BE000000}"/>
    <hyperlink ref="Y193" r:id="rId192" xr:uid="{00000000-0004-0000-0600-0000BF000000}"/>
    <hyperlink ref="Y194" r:id="rId193" xr:uid="{00000000-0004-0000-0600-0000C0000000}"/>
    <hyperlink ref="Y195" r:id="rId194" xr:uid="{00000000-0004-0000-0600-0000C1000000}"/>
    <hyperlink ref="Y196" r:id="rId195" xr:uid="{00000000-0004-0000-0600-0000C2000000}"/>
    <hyperlink ref="Y197" r:id="rId196" xr:uid="{00000000-0004-0000-0600-0000C3000000}"/>
    <hyperlink ref="Y198" r:id="rId197" xr:uid="{00000000-0004-0000-0600-0000C4000000}"/>
    <hyperlink ref="Y199" r:id="rId198" xr:uid="{00000000-0004-0000-0600-0000C5000000}"/>
    <hyperlink ref="Y200" r:id="rId199" xr:uid="{00000000-0004-0000-0600-0000C6000000}"/>
    <hyperlink ref="Y201" r:id="rId200" xr:uid="{00000000-0004-0000-0600-0000C7000000}"/>
    <hyperlink ref="Y202" r:id="rId201" xr:uid="{00000000-0004-0000-0600-0000C8000000}"/>
    <hyperlink ref="Y203" r:id="rId202" xr:uid="{00000000-0004-0000-0600-0000C9000000}"/>
    <hyperlink ref="Y204" r:id="rId203" xr:uid="{00000000-0004-0000-0600-0000CA000000}"/>
    <hyperlink ref="Y205" r:id="rId204" xr:uid="{00000000-0004-0000-0600-0000CB000000}"/>
    <hyperlink ref="Y206" r:id="rId205" xr:uid="{00000000-0004-0000-0600-0000CC000000}"/>
    <hyperlink ref="Y207" r:id="rId206" xr:uid="{00000000-0004-0000-0600-0000CD000000}"/>
    <hyperlink ref="Y208" r:id="rId207" xr:uid="{00000000-0004-0000-0600-0000CE000000}"/>
    <hyperlink ref="Y209" r:id="rId208" xr:uid="{00000000-0004-0000-0600-0000CF000000}"/>
    <hyperlink ref="Y210" r:id="rId209" xr:uid="{00000000-0004-0000-0600-0000D0000000}"/>
    <hyperlink ref="Y211" r:id="rId210" xr:uid="{00000000-0004-0000-0600-0000D1000000}"/>
    <hyperlink ref="Y212" r:id="rId211" xr:uid="{00000000-0004-0000-0600-0000D2000000}"/>
    <hyperlink ref="Y213" r:id="rId212" xr:uid="{00000000-0004-0000-0600-0000D3000000}"/>
    <hyperlink ref="Y214" r:id="rId213" xr:uid="{00000000-0004-0000-0600-0000D4000000}"/>
    <hyperlink ref="Y215" r:id="rId214" xr:uid="{00000000-0004-0000-0600-0000D5000000}"/>
    <hyperlink ref="Y216" r:id="rId215" xr:uid="{00000000-0004-0000-0600-0000D6000000}"/>
    <hyperlink ref="Y217" r:id="rId216" xr:uid="{00000000-0004-0000-0600-0000D7000000}"/>
    <hyperlink ref="Y218" r:id="rId217" xr:uid="{00000000-0004-0000-0600-0000D8000000}"/>
    <hyperlink ref="Y219" r:id="rId218" xr:uid="{00000000-0004-0000-0600-0000D9000000}"/>
    <hyperlink ref="Y220" r:id="rId219" xr:uid="{00000000-0004-0000-0600-0000DA000000}"/>
    <hyperlink ref="Y221" r:id="rId220" xr:uid="{00000000-0004-0000-0600-0000DB000000}"/>
    <hyperlink ref="Y222" r:id="rId221" xr:uid="{00000000-0004-0000-0600-0000DC000000}"/>
    <hyperlink ref="Y223" r:id="rId222" xr:uid="{00000000-0004-0000-0600-0000DD000000}"/>
    <hyperlink ref="Y224" r:id="rId223" xr:uid="{00000000-0004-0000-0600-0000DE000000}"/>
    <hyperlink ref="Y225" r:id="rId224" xr:uid="{00000000-0004-0000-0600-0000DF000000}"/>
    <hyperlink ref="Y226" r:id="rId225" xr:uid="{00000000-0004-0000-0600-0000E0000000}"/>
    <hyperlink ref="Y227" r:id="rId226" xr:uid="{00000000-0004-0000-0600-0000E1000000}"/>
    <hyperlink ref="Y228" r:id="rId227" xr:uid="{00000000-0004-0000-0600-0000E2000000}"/>
    <hyperlink ref="Y229" r:id="rId228" xr:uid="{00000000-0004-0000-0600-0000E3000000}"/>
    <hyperlink ref="Y230" r:id="rId229" xr:uid="{00000000-0004-0000-0600-0000E4000000}"/>
    <hyperlink ref="Y231" r:id="rId230" xr:uid="{00000000-0004-0000-0600-0000E5000000}"/>
    <hyperlink ref="Y232" r:id="rId231" xr:uid="{00000000-0004-0000-0600-0000E6000000}"/>
    <hyperlink ref="Y233" r:id="rId232" xr:uid="{00000000-0004-0000-0600-0000E7000000}"/>
    <hyperlink ref="Y234" r:id="rId233" xr:uid="{00000000-0004-0000-0600-0000E8000000}"/>
    <hyperlink ref="Y235" r:id="rId234" xr:uid="{00000000-0004-0000-0600-0000E9000000}"/>
    <hyperlink ref="Y236" r:id="rId235" xr:uid="{00000000-0004-0000-0600-0000EA000000}"/>
    <hyperlink ref="Y237" r:id="rId236" xr:uid="{00000000-0004-0000-0600-0000EB000000}"/>
    <hyperlink ref="Y238" r:id="rId237" xr:uid="{00000000-0004-0000-0600-0000EC000000}"/>
    <hyperlink ref="Y239" r:id="rId238" xr:uid="{00000000-0004-0000-0600-0000ED000000}"/>
    <hyperlink ref="Y240" r:id="rId239" xr:uid="{00000000-0004-0000-0600-0000EE000000}"/>
    <hyperlink ref="Y241" r:id="rId240" xr:uid="{00000000-0004-0000-0600-0000EF000000}"/>
    <hyperlink ref="Y242" r:id="rId241" xr:uid="{00000000-0004-0000-0600-0000F0000000}"/>
    <hyperlink ref="Y243" r:id="rId242" xr:uid="{00000000-0004-0000-0600-0000F1000000}"/>
    <hyperlink ref="Y244" r:id="rId243" xr:uid="{00000000-0004-0000-0600-0000F2000000}"/>
    <hyperlink ref="Y245" r:id="rId244" xr:uid="{00000000-0004-0000-0600-0000F3000000}"/>
    <hyperlink ref="Y246" r:id="rId245" xr:uid="{00000000-0004-0000-0600-0000F4000000}"/>
    <hyperlink ref="Y247" r:id="rId246" xr:uid="{00000000-0004-0000-0600-0000F5000000}"/>
    <hyperlink ref="Y248" r:id="rId247" xr:uid="{00000000-0004-0000-0600-0000F6000000}"/>
    <hyperlink ref="Y249" r:id="rId248" xr:uid="{00000000-0004-0000-0600-0000F7000000}"/>
    <hyperlink ref="Y250" r:id="rId249" xr:uid="{00000000-0004-0000-0600-0000F8000000}"/>
    <hyperlink ref="Y251" r:id="rId250" xr:uid="{00000000-0004-0000-0600-0000F9000000}"/>
    <hyperlink ref="Y252" r:id="rId251" xr:uid="{00000000-0004-0000-0600-0000FA000000}"/>
    <hyperlink ref="Y253" r:id="rId252" xr:uid="{00000000-0004-0000-0600-0000FB000000}"/>
    <hyperlink ref="Y254" r:id="rId253" xr:uid="{00000000-0004-0000-0600-0000FC000000}"/>
    <hyperlink ref="Y255" r:id="rId254" xr:uid="{00000000-0004-0000-0600-0000FD000000}"/>
    <hyperlink ref="Y256" r:id="rId255" xr:uid="{00000000-0004-0000-0600-0000FE000000}"/>
    <hyperlink ref="Y257" r:id="rId256" xr:uid="{00000000-0004-0000-0600-0000FF000000}"/>
    <hyperlink ref="Y258" r:id="rId257" xr:uid="{00000000-0004-0000-0600-000000010000}"/>
    <hyperlink ref="Y259" r:id="rId258" xr:uid="{00000000-0004-0000-0600-000001010000}"/>
    <hyperlink ref="Y260" r:id="rId259" xr:uid="{00000000-0004-0000-0600-000002010000}"/>
    <hyperlink ref="Y261" r:id="rId260" xr:uid="{00000000-0004-0000-0600-000003010000}"/>
    <hyperlink ref="Y262" r:id="rId261" xr:uid="{00000000-0004-0000-0600-000004010000}"/>
    <hyperlink ref="Y263" r:id="rId262" xr:uid="{00000000-0004-0000-0600-000005010000}"/>
    <hyperlink ref="Y264" r:id="rId263" xr:uid="{00000000-0004-0000-0600-000006010000}"/>
    <hyperlink ref="Y265" r:id="rId264" xr:uid="{00000000-0004-0000-0600-000007010000}"/>
    <hyperlink ref="Y266" r:id="rId265" xr:uid="{00000000-0004-0000-0600-000008010000}"/>
    <hyperlink ref="Y267" r:id="rId266" xr:uid="{00000000-0004-0000-0600-000009010000}"/>
    <hyperlink ref="Y268" r:id="rId267" xr:uid="{00000000-0004-0000-0600-00000A010000}"/>
    <hyperlink ref="Y269" r:id="rId268" xr:uid="{00000000-0004-0000-0600-00000B010000}"/>
    <hyperlink ref="Y270" r:id="rId269" xr:uid="{00000000-0004-0000-0600-00000C010000}"/>
    <hyperlink ref="Y271" r:id="rId270" xr:uid="{00000000-0004-0000-0600-00000D010000}"/>
    <hyperlink ref="Y272" r:id="rId271" xr:uid="{00000000-0004-0000-0600-00000E010000}"/>
    <hyperlink ref="Y273" r:id="rId272" xr:uid="{00000000-0004-0000-0600-00000F010000}"/>
    <hyperlink ref="Y274" r:id="rId273" xr:uid="{00000000-0004-0000-0600-000010010000}"/>
    <hyperlink ref="Y275" r:id="rId274" xr:uid="{00000000-0004-0000-0600-000011010000}"/>
    <hyperlink ref="Y276" r:id="rId275" xr:uid="{00000000-0004-0000-0600-000012010000}"/>
    <hyperlink ref="Y277" r:id="rId276" xr:uid="{00000000-0004-0000-0600-000013010000}"/>
    <hyperlink ref="Y278" r:id="rId277" xr:uid="{00000000-0004-0000-0600-000014010000}"/>
    <hyperlink ref="Y279" r:id="rId278" xr:uid="{00000000-0004-0000-0600-000015010000}"/>
    <hyperlink ref="Y280" r:id="rId279" xr:uid="{00000000-0004-0000-0600-000016010000}"/>
    <hyperlink ref="Y281" r:id="rId280" xr:uid="{00000000-0004-0000-0600-000017010000}"/>
    <hyperlink ref="Y282" r:id="rId281" xr:uid="{00000000-0004-0000-0600-000018010000}"/>
    <hyperlink ref="Y283" r:id="rId282" xr:uid="{00000000-0004-0000-0600-000019010000}"/>
    <hyperlink ref="Y284" r:id="rId283" xr:uid="{00000000-0004-0000-0600-00001A010000}"/>
    <hyperlink ref="Y285" r:id="rId284" xr:uid="{00000000-0004-0000-0600-00001B010000}"/>
    <hyperlink ref="Y286" r:id="rId285" xr:uid="{00000000-0004-0000-0600-00001C010000}"/>
    <hyperlink ref="Y287" r:id="rId286" xr:uid="{00000000-0004-0000-0600-00001D010000}"/>
    <hyperlink ref="Y288" r:id="rId287" xr:uid="{00000000-0004-0000-0600-00001E010000}"/>
    <hyperlink ref="Y289" r:id="rId288" xr:uid="{00000000-0004-0000-0600-00001F010000}"/>
    <hyperlink ref="Y290" r:id="rId289" xr:uid="{00000000-0004-0000-0600-000020010000}"/>
    <hyperlink ref="Y291" r:id="rId290" xr:uid="{00000000-0004-0000-0600-000021010000}"/>
    <hyperlink ref="Y292" r:id="rId291" xr:uid="{00000000-0004-0000-0600-000022010000}"/>
    <hyperlink ref="Y293" r:id="rId292" xr:uid="{00000000-0004-0000-0600-000023010000}"/>
    <hyperlink ref="Y294" r:id="rId293" xr:uid="{00000000-0004-0000-0600-000024010000}"/>
    <hyperlink ref="Y295" r:id="rId294" xr:uid="{00000000-0004-0000-0600-000025010000}"/>
    <hyperlink ref="Y296" r:id="rId295" xr:uid="{00000000-0004-0000-0600-000026010000}"/>
    <hyperlink ref="Y297" r:id="rId296" xr:uid="{00000000-0004-0000-0600-000027010000}"/>
    <hyperlink ref="Y298" r:id="rId297" xr:uid="{00000000-0004-0000-0600-000028010000}"/>
    <hyperlink ref="Y299" r:id="rId298" xr:uid="{00000000-0004-0000-0600-000029010000}"/>
    <hyperlink ref="Y300" r:id="rId299" xr:uid="{00000000-0004-0000-0600-00002A010000}"/>
    <hyperlink ref="Y301" r:id="rId300" xr:uid="{00000000-0004-0000-0600-00002B010000}"/>
    <hyperlink ref="Y302" r:id="rId301" xr:uid="{00000000-0004-0000-0600-00002C010000}"/>
    <hyperlink ref="Y303" r:id="rId302" xr:uid="{00000000-0004-0000-0600-00002D010000}"/>
    <hyperlink ref="Y304" r:id="rId303" xr:uid="{00000000-0004-0000-0600-00002E010000}"/>
    <hyperlink ref="Y305" r:id="rId304" xr:uid="{00000000-0004-0000-0600-00002F010000}"/>
    <hyperlink ref="Y306" r:id="rId305" xr:uid="{00000000-0004-0000-0600-000030010000}"/>
    <hyperlink ref="Y307" r:id="rId306" xr:uid="{00000000-0004-0000-0600-000031010000}"/>
    <hyperlink ref="Y308" r:id="rId307" xr:uid="{00000000-0004-0000-0600-000032010000}"/>
    <hyperlink ref="Y309" r:id="rId308" xr:uid="{00000000-0004-0000-0600-000033010000}"/>
    <hyperlink ref="Y310" r:id="rId309" xr:uid="{00000000-0004-0000-0600-000034010000}"/>
    <hyperlink ref="Y311" r:id="rId310" xr:uid="{00000000-0004-0000-0600-000035010000}"/>
    <hyperlink ref="Y312" r:id="rId311" xr:uid="{00000000-0004-0000-0600-000036010000}"/>
    <hyperlink ref="Y313" r:id="rId312" xr:uid="{00000000-0004-0000-0600-000037010000}"/>
    <hyperlink ref="Y314" r:id="rId313" xr:uid="{00000000-0004-0000-0600-000038010000}"/>
    <hyperlink ref="Y315" r:id="rId314" xr:uid="{00000000-0004-0000-0600-000039010000}"/>
    <hyperlink ref="Y316" r:id="rId315" xr:uid="{00000000-0004-0000-0600-00003A010000}"/>
    <hyperlink ref="Y317" r:id="rId316" xr:uid="{00000000-0004-0000-0600-00003B010000}"/>
    <hyperlink ref="Y318" r:id="rId317" xr:uid="{00000000-0004-0000-0600-00003C010000}"/>
    <hyperlink ref="Y319" r:id="rId318" xr:uid="{00000000-0004-0000-0600-00003D010000}"/>
    <hyperlink ref="Y320" r:id="rId319" xr:uid="{00000000-0004-0000-0600-00003E010000}"/>
    <hyperlink ref="Y321" r:id="rId320" xr:uid="{00000000-0004-0000-0600-00003F010000}"/>
    <hyperlink ref="Y322" r:id="rId321" xr:uid="{00000000-0004-0000-0600-000040010000}"/>
    <hyperlink ref="Y323" r:id="rId322" xr:uid="{00000000-0004-0000-0600-000041010000}"/>
    <hyperlink ref="Y324" r:id="rId323" xr:uid="{00000000-0004-0000-0600-000042010000}"/>
  </hyperlinks>
  <pageMargins left="0.511811024" right="0.511811024" top="0.78740157499999996" bottom="0.78740157499999996" header="0.31496062000000002" footer="0.31496062000000002"/>
  <tableParts count="1">
    <tablePart r:id="rId3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Database</vt:lpstr>
      <vt:lpstr>Mint</vt:lpstr>
      <vt:lpstr>Others</vt:lpstr>
      <vt:lpstr>Chinese_Database</vt:lpstr>
      <vt:lpstr>Heroes</vt:lpstr>
      <vt:lpstr>Página7</vt:lpstr>
      <vt:lpstr>All_data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CMUTI</cp:lastModifiedBy>
  <dcterms:modified xsi:type="dcterms:W3CDTF">2025-03-13T14:13:47Z</dcterms:modified>
</cp:coreProperties>
</file>