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de\Documents\OneDrive - Hewlett Packard Enterprise\PathForward\WP1.3\Design\message rates worksheets\"/>
    </mc:Choice>
  </mc:AlternateContent>
  <bookViews>
    <workbookView xWindow="0" yWindow="0" windowWidth="19515" windowHeight="9255" tabRatio="268" activeTab="1"/>
  </bookViews>
  <sheets>
    <sheet name="Sheet1" sheetId="1" r:id="rId1"/>
    <sheet name="Druid picture" sheetId="4" r:id="rId2"/>
    <sheet name="Sheet2" sheetId="2" r:id="rId3"/>
    <sheet name="table-with-topics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9" i="1" l="1"/>
  <c r="L139" i="1"/>
  <c r="G140" i="1" l="1"/>
  <c r="G139" i="1"/>
  <c r="J148" i="1" l="1"/>
  <c r="D86" i="1"/>
  <c r="D80" i="1"/>
  <c r="G74" i="1"/>
  <c r="G13" i="1" l="1"/>
  <c r="G24" i="1" l="1"/>
  <c r="G33" i="1" s="1"/>
  <c r="G49" i="1" s="1"/>
  <c r="H74" i="1" s="1"/>
  <c r="G77" i="1" l="1"/>
  <c r="G80" i="1" s="1"/>
  <c r="H70" i="1"/>
  <c r="J70" i="1" s="1"/>
  <c r="H72" i="1"/>
  <c r="J72" i="1" s="1"/>
  <c r="H71" i="1"/>
  <c r="J71" i="1" s="1"/>
  <c r="J113" i="1"/>
  <c r="H114" i="1"/>
  <c r="J114" i="1" s="1"/>
  <c r="H115" i="1"/>
  <c r="J115" i="1"/>
  <c r="H116" i="1"/>
  <c r="J116" i="1" s="1"/>
  <c r="H118" i="1"/>
  <c r="J118" i="1"/>
  <c r="H119" i="1"/>
  <c r="J119" i="1"/>
  <c r="J120" i="1"/>
  <c r="H122" i="1"/>
  <c r="J122" i="1" s="1"/>
  <c r="H123" i="1"/>
  <c r="J123" i="1"/>
  <c r="J124" i="1"/>
  <c r="H126" i="1"/>
  <c r="J126" i="1" s="1"/>
  <c r="H127" i="1"/>
  <c r="J127" i="1"/>
  <c r="H128" i="1"/>
  <c r="J128" i="1"/>
  <c r="H130" i="1"/>
  <c r="J130" i="1"/>
  <c r="H131" i="1"/>
  <c r="J131" i="1" s="1"/>
  <c r="J132" i="1"/>
  <c r="H134" i="1"/>
  <c r="J134" i="1"/>
  <c r="H135" i="1"/>
  <c r="J135" i="1"/>
  <c r="H136" i="1"/>
  <c r="J136" i="1"/>
  <c r="H93" i="1"/>
  <c r="J93" i="1" s="1"/>
  <c r="H94" i="1"/>
  <c r="J94" i="1" s="1"/>
  <c r="H97" i="1"/>
  <c r="J97" i="1"/>
  <c r="H98" i="1"/>
  <c r="J98" i="1" s="1"/>
  <c r="H99" i="1"/>
  <c r="J99" i="1"/>
  <c r="H102" i="1"/>
  <c r="J102" i="1" s="1"/>
  <c r="H103" i="1"/>
  <c r="J103" i="1" s="1"/>
  <c r="H106" i="1"/>
  <c r="J106" i="1"/>
  <c r="H107" i="1"/>
  <c r="J107" i="1"/>
  <c r="H108" i="1"/>
  <c r="J108" i="1"/>
  <c r="H51" i="1"/>
  <c r="J51" i="1"/>
  <c r="H52" i="1"/>
  <c r="J52" i="1" s="1"/>
  <c r="H53" i="1"/>
  <c r="J53" i="1" s="1"/>
  <c r="H54" i="1"/>
  <c r="J54" i="1" s="1"/>
  <c r="H55" i="1"/>
  <c r="J55" i="1" s="1"/>
  <c r="H56" i="1"/>
  <c r="J56" i="1" s="1"/>
  <c r="J57" i="1"/>
  <c r="H59" i="1"/>
  <c r="J59" i="1" s="1"/>
  <c r="H60" i="1"/>
  <c r="J60" i="1" s="1"/>
  <c r="J61" i="1"/>
  <c r="H63" i="1"/>
  <c r="J63" i="1" s="1"/>
  <c r="H64" i="1"/>
  <c r="J64" i="1" s="1"/>
  <c r="J65" i="1"/>
  <c r="H67" i="1"/>
  <c r="J67" i="1" s="1"/>
  <c r="H68" i="1"/>
  <c r="J68" i="1"/>
  <c r="H73" i="1"/>
  <c r="J73" i="1" s="1"/>
  <c r="J74" i="1"/>
  <c r="H35" i="1"/>
  <c r="H36" i="1"/>
  <c r="J36" i="1" s="1"/>
  <c r="H37" i="1"/>
  <c r="J37" i="1" s="1"/>
  <c r="H38" i="1"/>
  <c r="J38" i="1" s="1"/>
  <c r="J39" i="1"/>
  <c r="J40" i="1"/>
  <c r="J41" i="1"/>
  <c r="J42" i="1"/>
  <c r="J43" i="1"/>
  <c r="H44" i="1"/>
  <c r="J44" i="1" s="1"/>
  <c r="J45" i="1"/>
  <c r="H46" i="1"/>
  <c r="J46" i="1" s="1"/>
  <c r="H26" i="1"/>
  <c r="J26" i="1"/>
  <c r="J27" i="1"/>
  <c r="H28" i="1"/>
  <c r="J28" i="1" s="1"/>
  <c r="H29" i="1"/>
  <c r="J29" i="1" s="1"/>
  <c r="H30" i="1"/>
  <c r="J30" i="1" s="1"/>
  <c r="H15" i="1"/>
  <c r="J15" i="1" s="1"/>
  <c r="H16" i="1"/>
  <c r="J16" i="1" s="1"/>
  <c r="J17" i="1"/>
  <c r="H18" i="1"/>
  <c r="J18" i="1" s="1"/>
  <c r="H19" i="1"/>
  <c r="J19" i="1" s="1"/>
  <c r="H20" i="1"/>
  <c r="J20" i="1" s="1"/>
  <c r="H21" i="1"/>
  <c r="J21" i="1" s="1"/>
  <c r="H5" i="1"/>
  <c r="J5" i="1"/>
  <c r="J6" i="1"/>
  <c r="H7" i="1"/>
  <c r="J7" i="1" s="1"/>
  <c r="H8" i="1"/>
  <c r="J8" i="1"/>
  <c r="H9" i="1"/>
  <c r="J9" i="1" s="1"/>
  <c r="H10" i="1"/>
  <c r="J10" i="1" s="1"/>
  <c r="J85" i="1"/>
  <c r="H82" i="1" l="1"/>
  <c r="J82" i="1" s="1"/>
  <c r="H84" i="1"/>
  <c r="J84" i="1" s="1"/>
  <c r="G86" i="1"/>
  <c r="H87" i="1" s="1"/>
  <c r="J87" i="1" s="1"/>
  <c r="H78" i="1"/>
  <c r="J78" i="1" s="1"/>
  <c r="J110" i="1"/>
  <c r="H79" i="1"/>
  <c r="J79" i="1" s="1"/>
  <c r="H110" i="1"/>
  <c r="B8" i="2" s="1"/>
  <c r="J22" i="1"/>
  <c r="I110" i="1"/>
  <c r="J137" i="1"/>
  <c r="J11" i="1"/>
  <c r="H22" i="1"/>
  <c r="B3" i="2" s="1"/>
  <c r="H11" i="1"/>
  <c r="B2" i="2" s="1"/>
  <c r="H31" i="1"/>
  <c r="B4" i="2" s="1"/>
  <c r="H83" i="1"/>
  <c r="J83" i="1" s="1"/>
  <c r="H137" i="1"/>
  <c r="B9" i="2" s="1"/>
  <c r="H81" i="1"/>
  <c r="J81" i="1" s="1"/>
  <c r="J31" i="1"/>
  <c r="H47" i="1"/>
  <c r="B5" i="2" s="1"/>
  <c r="H75" i="1"/>
  <c r="B6" i="2" s="1"/>
  <c r="J75" i="1"/>
  <c r="J35" i="1"/>
  <c r="J47" i="1" s="1"/>
  <c r="H88" i="1" l="1"/>
  <c r="J88" i="1" s="1"/>
  <c r="J89" i="1" s="1"/>
  <c r="I22" i="1"/>
  <c r="I11" i="1"/>
  <c r="I137" i="1"/>
  <c r="I31" i="1"/>
  <c r="I75" i="1"/>
  <c r="I47" i="1"/>
  <c r="H89" i="1" l="1"/>
  <c r="I89" i="1" s="1"/>
  <c r="H141" i="1"/>
  <c r="J141" i="1"/>
  <c r="J90" i="1" s="1"/>
  <c r="B7" i="2" l="1"/>
  <c r="B11" i="2" s="1"/>
  <c r="L156" i="1"/>
  <c r="L157" i="1" s="1"/>
  <c r="J152" i="1"/>
  <c r="K142" i="1"/>
  <c r="L142" i="1" s="1"/>
  <c r="H144" i="1"/>
  <c r="J23" i="1"/>
  <c r="J12" i="1"/>
  <c r="J111" i="1"/>
  <c r="J48" i="1"/>
  <c r="J76" i="1"/>
  <c r="J32" i="1"/>
  <c r="K141" i="1"/>
  <c r="L141" i="1" s="1"/>
  <c r="J138" i="1"/>
  <c r="I141" i="1"/>
  <c r="H145" i="1" l="1"/>
  <c r="J145" i="1"/>
  <c r="J149" i="1" s="1"/>
  <c r="K144" i="1"/>
  <c r="L144" i="1" s="1"/>
  <c r="L147" i="1" s="1"/>
  <c r="K145" i="1"/>
  <c r="L145" i="1" s="1"/>
  <c r="L148" i="1" s="1"/>
  <c r="L160" i="1"/>
  <c r="K147" i="1" l="1"/>
  <c r="K150" i="1" s="1"/>
  <c r="L150" i="1" s="1"/>
  <c r="K148" i="1"/>
  <c r="K151" i="1" s="1"/>
  <c r="L151" i="1" s="1"/>
</calcChain>
</file>

<file path=xl/sharedStrings.xml><?xml version="1.0" encoding="utf-8"?>
<sst xmlns="http://schemas.openxmlformats.org/spreadsheetml/2006/main" count="375" uniqueCount="178">
  <si>
    <t>Message broker (daemon, kafka, mosquitto) running on what (admin, supervisory cloud, cmc, genz controller) which feeds broker on what</t>
  </si>
  <si>
    <t>Cadence (S)</t>
  </si>
  <si>
    <t># of values</t>
  </si>
  <si>
    <t>Instances</t>
  </si>
  <si>
    <t>Reported Data Rate (reports/sec)</t>
  </si>
  <si>
    <t>Pass-thru proportion</t>
  </si>
  <si>
    <t>Derived Data Rate (reports/sec)</t>
  </si>
  <si>
    <t>Facilities</t>
  </si>
  <si>
    <t>WX Forecast</t>
  </si>
  <si>
    <t>k/a</t>
  </si>
  <si>
    <t>Environment</t>
  </si>
  <si>
    <t>External</t>
  </si>
  <si>
    <t>Internal</t>
  </si>
  <si>
    <t>Power</t>
  </si>
  <si>
    <t>Cooling</t>
  </si>
  <si>
    <t>sub-totals:</t>
  </si>
  <si>
    <t>CDU-Domain</t>
  </si>
  <si>
    <t>Facilities side</t>
  </si>
  <si>
    <t>Temps</t>
  </si>
  <si>
    <t>k/sc - k/a</t>
  </si>
  <si>
    <t>Pressure</t>
  </si>
  <si>
    <t>Machine side</t>
  </si>
  <si>
    <t>Pumps/flow</t>
  </si>
  <si>
    <t>Health</t>
  </si>
  <si>
    <t>Rack</t>
  </si>
  <si>
    <t>PDU</t>
  </si>
  <si>
    <t>I/V/W</t>
  </si>
  <si>
    <t>Manifold</t>
  </si>
  <si>
    <t>Environmental</t>
  </si>
  <si>
    <t>Enclosure</t>
  </si>
  <si>
    <t>PSUs</t>
  </si>
  <si>
    <t>I/V/W in</t>
  </si>
  <si>
    <t>m/c - k/sc</t>
  </si>
  <si>
    <t>I/V/W out</t>
  </si>
  <si>
    <t>Status</t>
  </si>
  <si>
    <t>FRU</t>
  </si>
  <si>
    <t>change event</t>
  </si>
  <si>
    <t>Inventory</t>
  </si>
  <si>
    <t>Presence</t>
  </si>
  <si>
    <t>CMC</t>
  </si>
  <si>
    <t>Logs</t>
  </si>
  <si>
    <t>stream</t>
  </si>
  <si>
    <t>Node</t>
  </si>
  <si>
    <t>Global</t>
  </si>
  <si>
    <t>CPU</t>
  </si>
  <si>
    <t>GPU</t>
  </si>
  <si>
    <t>d/n - k/sc</t>
  </si>
  <si>
    <t>Memory</t>
  </si>
  <si>
    <t>Fabric</t>
  </si>
  <si>
    <t>Errors</t>
  </si>
  <si>
    <t>PCI</t>
  </si>
  <si>
    <t>State</t>
  </si>
  <si>
    <t>Micro-fabric</t>
  </si>
  <si>
    <t>OS</t>
  </si>
  <si>
    <t>Performance</t>
  </si>
  <si>
    <t>GPU status</t>
  </si>
  <si>
    <t>Switch</t>
  </si>
  <si>
    <t>m/z - k/sc</t>
  </si>
  <si>
    <t>Physical links</t>
  </si>
  <si>
    <t>Radix:</t>
  </si>
  <si>
    <t>Traffic</t>
  </si>
  <si>
    <t>Error Correction activity</t>
  </si>
  <si>
    <t>Vitrtual Lanes</t>
  </si>
  <si>
    <t>Count:</t>
  </si>
  <si>
    <t>Errors/discards</t>
  </si>
  <si>
    <t>Storage</t>
  </si>
  <si>
    <t>MDS</t>
  </si>
  <si>
    <t>k/n - k/a</t>
  </si>
  <si>
    <t>MDT</t>
  </si>
  <si>
    <t>OSS</t>
  </si>
  <si>
    <t>OST</t>
  </si>
  <si>
    <t>FEN</t>
  </si>
  <si>
    <t>d/n - k/a</t>
  </si>
  <si>
    <t>Network Interfaces</t>
  </si>
  <si>
    <t>Services</t>
  </si>
  <si>
    <t>in Gbit/s</t>
  </si>
  <si>
    <t>Total</t>
  </si>
  <si>
    <t>per year in TB</t>
  </si>
  <si>
    <t>Assumptions</t>
  </si>
  <si>
    <t>Kafka handles all streams even if messages from Embedded Agents may use MQTT for ingestion : they then will be buffered into a kafka topic from the MQTT broker(s)</t>
  </si>
  <si>
    <t>Topology as a seed to start : 1 topic per source of messages</t>
  </si>
  <si>
    <t>Each source with same replication &amp; retention</t>
  </si>
  <si>
    <t>Data sources specifications (from Jeff)</t>
  </si>
  <si>
    <t>Ingestion Metrics for the brokers</t>
  </si>
  <si>
    <t>Calculations to size the topics</t>
  </si>
  <si>
    <t>#</t>
  </si>
  <si>
    <t>Monitored
Component</t>
  </si>
  <si>
    <t>Producer - Type</t>
  </si>
  <si>
    <t>Notes from Jeff</t>
  </si>
  <si>
    <t>Msg
Size KB</t>
  </si>
  <si>
    <t>Msg
Freq Hz</t>
  </si>
  <si>
    <t>Producers
Number</t>
  </si>
  <si>
    <t>Nb Msg / Sec</t>
  </si>
  <si>
    <t>Size KB / Sec</t>
  </si>
  <si>
    <t>Topic
Replic factor</t>
  </si>
  <si>
    <t>Topic
Retent hours</t>
  </si>
  <si>
    <t>Topic
Buffer Nb Msg</t>
  </si>
  <si>
    <t>Topic
Buffer Size TB</t>
  </si>
  <si>
    <t>Topic Profile</t>
  </si>
  <si>
    <t>Facility</t>
  </si>
  <si>
    <t>Kafka agents</t>
  </si>
  <si>
    <t>1 KA on admin node</t>
  </si>
  <si>
    <t>8 640</t>
  </si>
  <si>
    <t>1 KA on each SU node</t>
  </si>
  <si>
    <t>2 764 800</t>
  </si>
  <si>
    <t>8 per SU node. Could be aggregated with 1 per SU combing all racks in it's unit</t>
  </si>
  <si>
    <t>22 118 400</t>
  </si>
  <si>
    <t>Enclosure Power</t>
  </si>
  <si>
    <t>Embedded agents</t>
  </si>
  <si>
    <t>1024 EA or 256 KA at rack level or 32 KA at SU level</t>
  </si>
  <si>
    <t>1 024.0</t>
  </si>
  <si>
    <t>1 638</t>
  </si>
  <si>
    <t>88 473 600</t>
  </si>
  <si>
    <t>Enclosure all else</t>
  </si>
  <si>
    <t>Node sensor</t>
  </si>
  <si>
    <t>8192 EA based on desire to get this out of band</t>
  </si>
  <si>
    <t>8 192.0</t>
  </si>
  <si>
    <t>12 288</t>
  </si>
  <si>
    <t>707 788 800</t>
  </si>
  <si>
    <t>more partitions or split topic</t>
  </si>
  <si>
    <t>Node OS metrics</t>
  </si>
  <si>
    <t>8192 KA</t>
  </si>
  <si>
    <t>24 576</t>
  </si>
  <si>
    <t>Switch GenZ</t>
  </si>
  <si>
    <t>4096 EA with strong likelihood of aggregating KA</t>
  </si>
  <si>
    <t>4 096.0</t>
  </si>
  <si>
    <t>86 016</t>
  </si>
  <si>
    <t>353 894 400</t>
  </si>
  <si>
    <t>Total for brokers</t>
  </si>
  <si>
    <t>Connected
clients</t>
  </si>
  <si>
    <t>Total
Nb Msg / sec</t>
  </si>
  <si>
    <t>Total
MB / sec</t>
  </si>
  <si>
    <t>8 481</t>
  </si>
  <si>
    <t>8 480</t>
  </si>
  <si>
    <t>14 336</t>
  </si>
  <si>
    <t>Badger</t>
  </si>
  <si>
    <t>Enclosures per rack</t>
  </si>
  <si>
    <t>Nodes per enclosure</t>
  </si>
  <si>
    <t># of racks</t>
  </si>
  <si>
    <t>Switches per enclosure</t>
  </si>
  <si>
    <t>store for X weeks:</t>
  </si>
  <si>
    <t>kByte per s</t>
  </si>
  <si>
    <t>Storage for years</t>
  </si>
  <si>
    <t>Compression factor</t>
  </si>
  <si>
    <t>Longterm (TB)</t>
  </si>
  <si>
    <t>ElasticSearch servers (LOGS)</t>
  </si>
  <si>
    <t>3 x (servers same as rack leaders)</t>
  </si>
  <si>
    <t>ElasticSearch only storage in TB</t>
  </si>
  <si>
    <t>Druid</t>
  </si>
  <si>
    <t>assume 1 dmln per 4 Kafka</t>
  </si>
  <si>
    <t>8 Middle layer nodes</t>
  </si>
  <si>
    <t>In month:</t>
  </si>
  <si>
    <t>8 Historical nodes</t>
  </si>
  <si>
    <t>2 Broker nodes</t>
  </si>
  <si>
    <t>Cold storage in TB:</t>
  </si>
  <si>
    <t>rest overlayed with micro services</t>
  </si>
  <si>
    <t>In years:</t>
  </si>
  <si>
    <t>capacity needed per year (TB):</t>
  </si>
  <si>
    <t>Scalable unit (racks)</t>
  </si>
  <si>
    <t>Network</t>
  </si>
  <si>
    <t>Msg per rack per s</t>
  </si>
  <si>
    <t>with compression factor per year in TB</t>
  </si>
  <si>
    <t>storage for X years in TB</t>
  </si>
  <si>
    <t>per SU in TB</t>
  </si>
  <si>
    <t>Rough worksheet for message rate calculations for a notional CORAL-2 (Exascale) system</t>
  </si>
  <si>
    <t>GPU per node</t>
  </si>
  <si>
    <t># Switch ports</t>
  </si>
  <si>
    <t># virtual lanes per switch port</t>
  </si>
  <si>
    <t>Message size: timestamp UTC (64bit) + sensorID (28bit) + 32Bit value =</t>
  </si>
  <si>
    <t>per scalable unit (SU) (Mbit/s)</t>
  </si>
  <si>
    <t>storage per SU (TB): SSD</t>
  </si>
  <si>
    <t>For SU</t>
  </si>
  <si>
    <t>System Kafka stoarge (TB)</t>
  </si>
  <si>
    <t>Kafka Compression</t>
  </si>
  <si>
    <t>agents</t>
  </si>
  <si>
    <t>data points</t>
  </si>
  <si>
    <t>Kafka Batch size (kByte)</t>
  </si>
  <si>
    <t># of data points per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</si>
</sst>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Alignment="0" applyProtection="0"/>
  </cellStyleXfs>
  <cellXfs count="31">
    <xf numFmtId="0" fontId="0" fillId="0" borderId="0" xfId="0"/>
    <xf numFmtId="0" fontId="3" fillId="2" borderId="1" xfId="2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3" borderId="0" xfId="0" applyFill="1"/>
    <xf numFmtId="0" fontId="0" fillId="0" borderId="0" xfId="0" applyFill="1"/>
    <xf numFmtId="0" fontId="9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3" borderId="0" xfId="0" applyFill="1" applyAlignment="1">
      <alignment wrapText="1"/>
    </xf>
    <xf numFmtId="0" fontId="2" fillId="0" borderId="0" xfId="0" applyFont="1" applyAlignment="1">
      <alignment horizontal="right" wrapText="1"/>
    </xf>
    <xf numFmtId="0" fontId="8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2" borderId="1" xfId="2" applyFont="1" applyAlignment="1">
      <alignment wrapText="1"/>
    </xf>
    <xf numFmtId="9" fontId="0" fillId="0" borderId="0" xfId="1" applyFont="1" applyAlignment="1">
      <alignment wrapText="1"/>
    </xf>
    <xf numFmtId="9" fontId="3" fillId="2" borderId="1" xfId="2" applyNumberFormat="1" applyAlignment="1">
      <alignment wrapText="1"/>
    </xf>
    <xf numFmtId="0" fontId="3" fillId="2" borderId="1" xfId="2" applyAlignment="1">
      <alignment wrapText="1"/>
    </xf>
    <xf numFmtId="164" fontId="3" fillId="2" borderId="1" xfId="2" applyNumberFormat="1" applyAlignment="1">
      <alignment wrapText="1"/>
    </xf>
    <xf numFmtId="164" fontId="3" fillId="2" borderId="1" xfId="1" applyNumberFormat="1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2" fontId="8" fillId="0" borderId="0" xfId="1" applyNumberFormat="1" applyFont="1" applyAlignment="1">
      <alignment wrapText="1"/>
    </xf>
    <xf numFmtId="0" fontId="0" fillId="4" borderId="0" xfId="0" applyFill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derived</a:t>
            </a:r>
            <a:r>
              <a:rPr lang="en-GB" baseline="0"/>
              <a:t> data source disposition (</a:t>
            </a:r>
            <a:r>
              <a:rPr lang="en-GB" u="sng" baseline="0"/>
              <a:t>with</a:t>
            </a:r>
            <a:r>
              <a:rPr lang="en-GB" baseline="0"/>
              <a:t> fabric VL measurement)</a:t>
            </a:r>
          </a:p>
        </c:rich>
      </c:tx>
      <c:layout>
        <c:manualLayout>
          <c:xMode val="edge"/>
          <c:yMode val="edge"/>
          <c:x val="0.18706018518518519"/>
          <c:y val="2.8643036161833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A4-4F1D-935D-574D97A7C4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9A4-4F1D-935D-574D97A7C4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9A4-4F1D-935D-574D97A7C4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9A4-4F1D-935D-574D97A7C4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9A4-4F1D-935D-574D97A7C4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9A4-4F1D-935D-574D97A7C4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9A4-4F1D-935D-574D97A7C4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9A4-4F1D-935D-574D97A7C410}"/>
              </c:ext>
            </c:extLst>
          </c:dPt>
          <c:cat>
            <c:strRef>
              <c:f>Sheet2!$A$2:$A$9</c:f>
              <c:strCache>
                <c:ptCount val="8"/>
                <c:pt idx="0">
                  <c:v>Facilities</c:v>
                </c:pt>
                <c:pt idx="1">
                  <c:v>CDU-Domain</c:v>
                </c:pt>
                <c:pt idx="2">
                  <c:v>Rack</c:v>
                </c:pt>
                <c:pt idx="3">
                  <c:v>Enclosure</c:v>
                </c:pt>
                <c:pt idx="4">
                  <c:v>Node</c:v>
                </c:pt>
                <c:pt idx="5">
                  <c:v>Network</c:v>
                </c:pt>
                <c:pt idx="6">
                  <c:v>Storage</c:v>
                </c:pt>
                <c:pt idx="7">
                  <c:v>FEN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18.201388888888889</c:v>
                </c:pt>
                <c:pt idx="1">
                  <c:v>960</c:v>
                </c:pt>
                <c:pt idx="2">
                  <c:v>2112</c:v>
                </c:pt>
                <c:pt idx="3">
                  <c:v>47692.800000000003</c:v>
                </c:pt>
                <c:pt idx="4">
                  <c:v>2286811.5455999998</c:v>
                </c:pt>
                <c:pt idx="5">
                  <c:v>6830592</c:v>
                </c:pt>
                <c:pt idx="6">
                  <c:v>5861.8</c:v>
                </c:pt>
                <c:pt idx="7">
                  <c:v>1060.8263999999999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D9A4-4F1D-935D-574D97A7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0</xdr:colOff>
      <xdr:row>40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97536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163830</xdr:rowOff>
    </xdr:from>
    <xdr:to>
      <xdr:col>11</xdr:col>
      <xdr:colOff>91440</xdr:colOff>
      <xdr:row>20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opLeftCell="A130" zoomScaleNormal="100" workbookViewId="0">
      <selection activeCell="J148" sqref="J148"/>
    </sheetView>
  </sheetViews>
  <sheetFormatPr defaultRowHeight="15" x14ac:dyDescent="0.25"/>
  <cols>
    <col min="1" max="1" width="12.28515625" bestFit="1" customWidth="1"/>
    <col min="2" max="2" width="14.140625" style="2" bestFit="1" customWidth="1"/>
    <col min="3" max="3" width="13.42578125" style="2" customWidth="1"/>
    <col min="4" max="4" width="3" style="2" bestFit="1" customWidth="1"/>
    <col min="5" max="5" width="11.42578125" style="14" bestFit="1" customWidth="1"/>
    <col min="6" max="6" width="10.42578125" style="2" bestFit="1" customWidth="1"/>
    <col min="7" max="7" width="17" style="2" bestFit="1" customWidth="1"/>
    <col min="8" max="8" width="18.42578125" style="2" bestFit="1" customWidth="1"/>
    <col min="9" max="9" width="24.7109375" style="20" bestFit="1" customWidth="1"/>
    <col min="10" max="10" width="30.85546875" style="2" bestFit="1" customWidth="1"/>
    <col min="11" max="11" width="33.140625" style="2" customWidth="1"/>
    <col min="12" max="12" width="21.85546875" style="2" bestFit="1" customWidth="1"/>
    <col min="13" max="13" width="4" bestFit="1" customWidth="1"/>
    <col min="14" max="14" width="21.28515625" customWidth="1"/>
  </cols>
  <sheetData>
    <row r="1" spans="1:17" ht="75" x14ac:dyDescent="0.25">
      <c r="A1" s="29" t="s">
        <v>164</v>
      </c>
      <c r="B1" s="29"/>
      <c r="C1" s="29"/>
      <c r="D1" s="29"/>
      <c r="E1" s="29"/>
      <c r="F1" s="29"/>
      <c r="G1" s="29"/>
      <c r="H1" s="29"/>
      <c r="I1" s="29"/>
      <c r="J1" s="29"/>
      <c r="K1" s="2" t="s">
        <v>0</v>
      </c>
    </row>
    <row r="3" spans="1:17" ht="30" x14ac:dyDescent="0.25">
      <c r="E3" s="14" t="s">
        <v>1</v>
      </c>
      <c r="F3" s="2" t="s">
        <v>2</v>
      </c>
      <c r="G3" s="2" t="s">
        <v>3</v>
      </c>
      <c r="H3" s="2" t="s">
        <v>4</v>
      </c>
      <c r="I3" s="20" t="s">
        <v>5</v>
      </c>
      <c r="J3" s="2" t="s">
        <v>6</v>
      </c>
      <c r="L3" s="2" t="s">
        <v>135</v>
      </c>
    </row>
    <row r="4" spans="1:17" x14ac:dyDescent="0.25">
      <c r="A4" s="8" t="s">
        <v>7</v>
      </c>
      <c r="L4" s="2" t="s">
        <v>138</v>
      </c>
      <c r="M4" s="11">
        <v>192</v>
      </c>
      <c r="O4" s="12"/>
      <c r="P4" s="12"/>
      <c r="Q4" s="12"/>
    </row>
    <row r="5" spans="1:17" x14ac:dyDescent="0.25">
      <c r="B5" s="2" t="s">
        <v>8</v>
      </c>
      <c r="E5" s="14">
        <v>3600</v>
      </c>
      <c r="F5" s="2">
        <v>5</v>
      </c>
      <c r="G5" s="2">
        <v>1</v>
      </c>
      <c r="H5" s="2">
        <f>(G5*F5)/E5</f>
        <v>1.3888888888888889E-3</v>
      </c>
      <c r="I5" s="20">
        <v>1</v>
      </c>
      <c r="J5" s="2">
        <f t="shared" ref="J5:J39" si="0">I5*H5</f>
        <v>1.3888888888888889E-3</v>
      </c>
      <c r="K5" s="2" t="s">
        <v>9</v>
      </c>
      <c r="L5" s="2" t="s">
        <v>136</v>
      </c>
      <c r="M5" s="11">
        <v>4</v>
      </c>
      <c r="O5" s="12"/>
      <c r="P5" s="12"/>
      <c r="Q5" s="12"/>
    </row>
    <row r="6" spans="1:17" x14ac:dyDescent="0.25">
      <c r="B6" s="2" t="s">
        <v>10</v>
      </c>
      <c r="J6" s="2">
        <f t="shared" si="0"/>
        <v>0</v>
      </c>
      <c r="L6" s="2" t="s">
        <v>137</v>
      </c>
      <c r="M6" s="11">
        <v>16</v>
      </c>
      <c r="O6" s="12"/>
      <c r="P6" s="12"/>
      <c r="Q6" s="12"/>
    </row>
    <row r="7" spans="1:17" x14ac:dyDescent="0.25">
      <c r="C7" s="2" t="s">
        <v>11</v>
      </c>
      <c r="E7" s="14">
        <v>10</v>
      </c>
      <c r="F7" s="2">
        <v>5</v>
      </c>
      <c r="G7" s="2">
        <v>2</v>
      </c>
      <c r="H7" s="2">
        <f>(G7*F7)/E7</f>
        <v>1</v>
      </c>
      <c r="I7" s="20">
        <v>1</v>
      </c>
      <c r="J7" s="2">
        <f t="shared" si="0"/>
        <v>1</v>
      </c>
      <c r="K7" s="2" t="s">
        <v>9</v>
      </c>
      <c r="L7" s="28" t="s">
        <v>139</v>
      </c>
      <c r="M7" s="11">
        <v>2</v>
      </c>
      <c r="O7" s="12"/>
      <c r="P7" s="12"/>
      <c r="Q7" s="12"/>
    </row>
    <row r="8" spans="1:17" x14ac:dyDescent="0.25">
      <c r="C8" s="2" t="s">
        <v>12</v>
      </c>
      <c r="E8" s="14">
        <v>10</v>
      </c>
      <c r="F8" s="2">
        <v>5</v>
      </c>
      <c r="G8" s="2">
        <v>12</v>
      </c>
      <c r="H8" s="2">
        <f>(G8*F8)/E8</f>
        <v>6</v>
      </c>
      <c r="I8" s="20">
        <v>1</v>
      </c>
      <c r="J8" s="2">
        <f t="shared" si="0"/>
        <v>6</v>
      </c>
      <c r="K8" s="2" t="s">
        <v>9</v>
      </c>
      <c r="L8" s="2" t="s">
        <v>165</v>
      </c>
      <c r="M8" s="11">
        <v>4</v>
      </c>
      <c r="O8" s="12"/>
      <c r="P8" s="12"/>
      <c r="Q8" s="12"/>
    </row>
    <row r="9" spans="1:17" x14ac:dyDescent="0.25">
      <c r="B9" s="2" t="s">
        <v>13</v>
      </c>
      <c r="E9" s="14">
        <v>10</v>
      </c>
      <c r="F9" s="2">
        <v>4</v>
      </c>
      <c r="G9" s="2">
        <v>8</v>
      </c>
      <c r="H9" s="2">
        <f>(G9*F9)/E9</f>
        <v>3.2</v>
      </c>
      <c r="I9" s="20">
        <v>1</v>
      </c>
      <c r="J9" s="2">
        <f t="shared" si="0"/>
        <v>3.2</v>
      </c>
      <c r="K9" s="2" t="s">
        <v>9</v>
      </c>
      <c r="L9" s="2" t="s">
        <v>158</v>
      </c>
      <c r="M9" s="11">
        <v>4</v>
      </c>
      <c r="O9" s="12"/>
      <c r="P9" s="12"/>
      <c r="Q9" s="12"/>
    </row>
    <row r="10" spans="1:17" x14ac:dyDescent="0.25">
      <c r="B10" s="2" t="s">
        <v>14</v>
      </c>
      <c r="E10" s="14">
        <v>10</v>
      </c>
      <c r="F10" s="2">
        <v>8</v>
      </c>
      <c r="G10" s="2">
        <v>10</v>
      </c>
      <c r="H10" s="2">
        <f>(G10*F10)/E10</f>
        <v>8</v>
      </c>
      <c r="I10" s="20">
        <v>1</v>
      </c>
      <c r="J10" s="2">
        <f t="shared" si="0"/>
        <v>8</v>
      </c>
      <c r="K10" s="2" t="s">
        <v>9</v>
      </c>
      <c r="L10" s="28" t="s">
        <v>166</v>
      </c>
      <c r="M10" s="11">
        <v>60</v>
      </c>
      <c r="O10" s="12"/>
      <c r="P10" s="12"/>
      <c r="Q10" s="12"/>
    </row>
    <row r="11" spans="1:17" ht="30" x14ac:dyDescent="0.25">
      <c r="G11" s="2" t="s">
        <v>15</v>
      </c>
      <c r="H11" s="19">
        <f>SUM(H5:H10)</f>
        <v>18.201388888888889</v>
      </c>
      <c r="I11" s="21">
        <f>J11/H11</f>
        <v>1</v>
      </c>
      <c r="J11" s="22">
        <f>SUM(J5:J10)</f>
        <v>18.201388888888889</v>
      </c>
      <c r="L11" s="28" t="s">
        <v>167</v>
      </c>
      <c r="M11" s="11">
        <v>16</v>
      </c>
      <c r="O11" s="12"/>
      <c r="P11" s="12"/>
      <c r="Q11" s="12"/>
    </row>
    <row r="12" spans="1:17" x14ac:dyDescent="0.25">
      <c r="J12" s="23">
        <f>J11/$J$141</f>
        <v>8.8435010377495043E-6</v>
      </c>
      <c r="O12" s="12"/>
      <c r="P12" s="12"/>
      <c r="Q12" s="12"/>
    </row>
    <row r="13" spans="1:17" x14ac:dyDescent="0.25">
      <c r="A13" s="8" t="s">
        <v>16</v>
      </c>
      <c r="G13" s="17">
        <f>M4/M9</f>
        <v>48</v>
      </c>
      <c r="O13" s="12"/>
      <c r="P13" s="12"/>
      <c r="Q13" s="12"/>
    </row>
    <row r="14" spans="1:17" x14ac:dyDescent="0.25">
      <c r="B14" s="2" t="s">
        <v>17</v>
      </c>
      <c r="O14" s="12"/>
      <c r="P14" s="12"/>
      <c r="Q14" s="12"/>
    </row>
    <row r="15" spans="1:17" x14ac:dyDescent="0.25">
      <c r="C15" s="2" t="s">
        <v>18</v>
      </c>
      <c r="E15" s="14">
        <v>1</v>
      </c>
      <c r="F15" s="2">
        <v>4</v>
      </c>
      <c r="H15" s="2">
        <f>($G$13*F15)/E15</f>
        <v>192</v>
      </c>
      <c r="I15" s="20">
        <v>0.2</v>
      </c>
      <c r="J15" s="2">
        <f t="shared" si="0"/>
        <v>38.400000000000006</v>
      </c>
      <c r="K15" s="2" t="s">
        <v>19</v>
      </c>
      <c r="O15" s="12"/>
      <c r="P15" s="12"/>
      <c r="Q15" s="12"/>
    </row>
    <row r="16" spans="1:17" x14ac:dyDescent="0.25">
      <c r="C16" s="2" t="s">
        <v>20</v>
      </c>
      <c r="E16" s="14">
        <v>1</v>
      </c>
      <c r="F16" s="2">
        <v>4</v>
      </c>
      <c r="H16" s="2">
        <f t="shared" ref="H16:H21" si="1">($G$13*F16)/E16</f>
        <v>192</v>
      </c>
      <c r="I16" s="20">
        <v>0.2</v>
      </c>
      <c r="J16" s="2">
        <f t="shared" si="0"/>
        <v>38.400000000000006</v>
      </c>
      <c r="K16" s="2" t="s">
        <v>19</v>
      </c>
      <c r="O16" s="12"/>
      <c r="P16" s="12"/>
      <c r="Q16" s="12"/>
    </row>
    <row r="17" spans="1:11" x14ac:dyDescent="0.25">
      <c r="B17" s="2" t="s">
        <v>21</v>
      </c>
      <c r="J17" s="2">
        <f t="shared" si="0"/>
        <v>0</v>
      </c>
    </row>
    <row r="18" spans="1:11" x14ac:dyDescent="0.25">
      <c r="C18" s="2" t="s">
        <v>18</v>
      </c>
      <c r="E18" s="14">
        <v>1</v>
      </c>
      <c r="F18" s="2">
        <v>4</v>
      </c>
      <c r="H18" s="2">
        <f t="shared" si="1"/>
        <v>192</v>
      </c>
      <c r="I18" s="20">
        <v>0.2</v>
      </c>
      <c r="J18" s="2">
        <f t="shared" si="0"/>
        <v>38.400000000000006</v>
      </c>
      <c r="K18" s="2" t="s">
        <v>19</v>
      </c>
    </row>
    <row r="19" spans="1:11" x14ac:dyDescent="0.25">
      <c r="C19" s="2" t="s">
        <v>20</v>
      </c>
      <c r="E19" s="14">
        <v>1</v>
      </c>
      <c r="F19" s="2">
        <v>4</v>
      </c>
      <c r="H19" s="2">
        <f t="shared" si="1"/>
        <v>192</v>
      </c>
      <c r="I19" s="20">
        <v>0.2</v>
      </c>
      <c r="J19" s="2">
        <f t="shared" si="0"/>
        <v>38.400000000000006</v>
      </c>
      <c r="K19" s="2" t="s">
        <v>19</v>
      </c>
    </row>
    <row r="20" spans="1:11" x14ac:dyDescent="0.25">
      <c r="C20" s="2" t="s">
        <v>22</v>
      </c>
      <c r="E20" s="14">
        <v>1</v>
      </c>
      <c r="F20" s="2">
        <v>2</v>
      </c>
      <c r="H20" s="2">
        <f t="shared" si="1"/>
        <v>96</v>
      </c>
      <c r="I20" s="20">
        <v>0.2</v>
      </c>
      <c r="J20" s="2">
        <f t="shared" si="0"/>
        <v>19.200000000000003</v>
      </c>
      <c r="K20" s="2" t="s">
        <v>19</v>
      </c>
    </row>
    <row r="21" spans="1:11" x14ac:dyDescent="0.25">
      <c r="C21" s="2" t="s">
        <v>23</v>
      </c>
      <c r="E21" s="14">
        <v>1</v>
      </c>
      <c r="F21" s="2">
        <v>2</v>
      </c>
      <c r="H21" s="2">
        <f t="shared" si="1"/>
        <v>96</v>
      </c>
      <c r="I21" s="20">
        <v>0.2</v>
      </c>
      <c r="J21" s="2">
        <f t="shared" si="0"/>
        <v>19.200000000000003</v>
      </c>
      <c r="K21" s="2" t="s">
        <v>19</v>
      </c>
    </row>
    <row r="22" spans="1:11" x14ac:dyDescent="0.25">
      <c r="G22" s="2" t="s">
        <v>15</v>
      </c>
      <c r="H22" s="19">
        <f>SUM(H15:H21)</f>
        <v>960</v>
      </c>
      <c r="I22" s="21">
        <f>J22/H22</f>
        <v>0.2</v>
      </c>
      <c r="J22" s="22">
        <f>SUM(J15:J21)</f>
        <v>192</v>
      </c>
    </row>
    <row r="23" spans="1:11" x14ac:dyDescent="0.25">
      <c r="J23" s="23">
        <f>J22/$J$141</f>
        <v>9.3286957913658267E-5</v>
      </c>
    </row>
    <row r="24" spans="1:11" x14ac:dyDescent="0.25">
      <c r="A24" s="8" t="s">
        <v>24</v>
      </c>
      <c r="G24" s="2">
        <f>M4</f>
        <v>192</v>
      </c>
    </row>
    <row r="25" spans="1:11" x14ac:dyDescent="0.25">
      <c r="B25" s="2" t="s">
        <v>25</v>
      </c>
    </row>
    <row r="26" spans="1:11" x14ac:dyDescent="0.25">
      <c r="C26" s="2" t="s">
        <v>26</v>
      </c>
      <c r="E26" s="14">
        <v>1</v>
      </c>
      <c r="F26" s="2">
        <v>3</v>
      </c>
      <c r="H26" s="2">
        <f>($G$24*F26)/E26</f>
        <v>576</v>
      </c>
      <c r="I26" s="20">
        <v>1</v>
      </c>
      <c r="J26" s="2">
        <f t="shared" si="0"/>
        <v>576</v>
      </c>
      <c r="K26" s="2" t="s">
        <v>19</v>
      </c>
    </row>
    <row r="27" spans="1:11" x14ac:dyDescent="0.25">
      <c r="B27" s="2" t="s">
        <v>27</v>
      </c>
      <c r="J27" s="2">
        <f t="shared" si="0"/>
        <v>0</v>
      </c>
    </row>
    <row r="28" spans="1:11" x14ac:dyDescent="0.25">
      <c r="C28" s="2" t="s">
        <v>18</v>
      </c>
      <c r="E28" s="14">
        <v>1</v>
      </c>
      <c r="F28" s="2">
        <v>2</v>
      </c>
      <c r="H28" s="2">
        <f>($G$24*F28)/E28</f>
        <v>384</v>
      </c>
      <c r="I28" s="20">
        <v>0.2</v>
      </c>
      <c r="J28" s="2">
        <f t="shared" si="0"/>
        <v>76.800000000000011</v>
      </c>
      <c r="K28" s="2" t="s">
        <v>19</v>
      </c>
    </row>
    <row r="29" spans="1:11" x14ac:dyDescent="0.25">
      <c r="C29" s="2" t="s">
        <v>20</v>
      </c>
      <c r="E29" s="14">
        <v>1</v>
      </c>
      <c r="F29" s="2">
        <v>2</v>
      </c>
      <c r="H29" s="2">
        <f>($G$24*F29)/E29</f>
        <v>384</v>
      </c>
      <c r="I29" s="20">
        <v>0.2</v>
      </c>
      <c r="J29" s="2">
        <f t="shared" si="0"/>
        <v>76.800000000000011</v>
      </c>
      <c r="K29" s="2" t="s">
        <v>19</v>
      </c>
    </row>
    <row r="30" spans="1:11" x14ac:dyDescent="0.25">
      <c r="B30" s="2" t="s">
        <v>28</v>
      </c>
      <c r="E30" s="14">
        <v>1</v>
      </c>
      <c r="F30" s="2">
        <v>4</v>
      </c>
      <c r="H30" s="2">
        <f>($G$24*F30)/E30</f>
        <v>768</v>
      </c>
      <c r="I30" s="20">
        <v>0.2</v>
      </c>
      <c r="J30" s="2">
        <f t="shared" si="0"/>
        <v>153.60000000000002</v>
      </c>
      <c r="K30" s="2" t="s">
        <v>19</v>
      </c>
    </row>
    <row r="31" spans="1:11" x14ac:dyDescent="0.25">
      <c r="G31" s="2" t="s">
        <v>15</v>
      </c>
      <c r="H31" s="19">
        <f>SUM(H26:H30)</f>
        <v>2112</v>
      </c>
      <c r="I31" s="21">
        <f>J31/H31</f>
        <v>0.41818181818181815</v>
      </c>
      <c r="J31" s="22">
        <f>SUM(J26:J30)</f>
        <v>883.19999999999993</v>
      </c>
    </row>
    <row r="32" spans="1:11" x14ac:dyDescent="0.25">
      <c r="J32" s="23">
        <f>J31/$J$141</f>
        <v>4.2912000640282799E-4</v>
      </c>
    </row>
    <row r="33" spans="1:11" x14ac:dyDescent="0.25">
      <c r="A33" s="8" t="s">
        <v>29</v>
      </c>
      <c r="G33" s="2">
        <f>G24*M5</f>
        <v>768</v>
      </c>
      <c r="J33" s="20"/>
    </row>
    <row r="34" spans="1:11" x14ac:dyDescent="0.25">
      <c r="B34" s="2" t="s">
        <v>30</v>
      </c>
    </row>
    <row r="35" spans="1:11" x14ac:dyDescent="0.25">
      <c r="C35" s="2" t="s">
        <v>31</v>
      </c>
      <c r="E35" s="14">
        <v>1</v>
      </c>
      <c r="F35" s="2">
        <v>21</v>
      </c>
      <c r="H35" s="2">
        <f>($G$33*F35)/E35</f>
        <v>16128</v>
      </c>
      <c r="I35" s="20">
        <v>0.2</v>
      </c>
      <c r="J35" s="2">
        <f t="shared" si="0"/>
        <v>3225.6000000000004</v>
      </c>
      <c r="K35" s="2" t="s">
        <v>32</v>
      </c>
    </row>
    <row r="36" spans="1:11" x14ac:dyDescent="0.25">
      <c r="C36" s="2" t="s">
        <v>33</v>
      </c>
      <c r="E36" s="14">
        <v>1</v>
      </c>
      <c r="F36" s="2">
        <v>21</v>
      </c>
      <c r="H36" s="2">
        <f t="shared" ref="H36:H44" si="2">($G$33*F36)/E36</f>
        <v>16128</v>
      </c>
      <c r="I36" s="20">
        <v>0.2</v>
      </c>
      <c r="J36" s="2">
        <f t="shared" si="0"/>
        <v>3225.6000000000004</v>
      </c>
      <c r="K36" s="2" t="s">
        <v>32</v>
      </c>
    </row>
    <row r="37" spans="1:11" x14ac:dyDescent="0.25">
      <c r="C37" s="2" t="s">
        <v>18</v>
      </c>
      <c r="E37" s="14">
        <v>1</v>
      </c>
      <c r="F37" s="2">
        <v>9</v>
      </c>
      <c r="H37" s="2">
        <f t="shared" si="2"/>
        <v>6912</v>
      </c>
      <c r="I37" s="20">
        <v>0.2</v>
      </c>
      <c r="J37" s="2">
        <f t="shared" si="0"/>
        <v>1382.4</v>
      </c>
      <c r="K37" s="2" t="s">
        <v>32</v>
      </c>
    </row>
    <row r="38" spans="1:11" x14ac:dyDescent="0.25">
      <c r="C38" s="2" t="s">
        <v>34</v>
      </c>
      <c r="E38" s="14">
        <v>1</v>
      </c>
      <c r="F38" s="2">
        <v>9</v>
      </c>
      <c r="H38" s="2">
        <f t="shared" si="2"/>
        <v>6912</v>
      </c>
      <c r="I38" s="20">
        <v>0.05</v>
      </c>
      <c r="J38" s="2">
        <f t="shared" si="0"/>
        <v>345.6</v>
      </c>
      <c r="K38" s="2" t="s">
        <v>32</v>
      </c>
    </row>
    <row r="39" spans="1:11" ht="30" x14ac:dyDescent="0.25">
      <c r="C39" s="2" t="s">
        <v>35</v>
      </c>
      <c r="E39" s="14" t="s">
        <v>36</v>
      </c>
      <c r="F39" s="2">
        <v>9</v>
      </c>
      <c r="H39" s="2">
        <v>0</v>
      </c>
      <c r="J39" s="2">
        <f t="shared" si="0"/>
        <v>0</v>
      </c>
      <c r="K39" s="2" t="s">
        <v>32</v>
      </c>
    </row>
    <row r="40" spans="1:11" x14ac:dyDescent="0.25">
      <c r="B40" s="2" t="s">
        <v>37</v>
      </c>
      <c r="J40" s="2">
        <f t="shared" ref="J40:J57" si="3">I40*H40</f>
        <v>0</v>
      </c>
    </row>
    <row r="41" spans="1:11" ht="30" x14ac:dyDescent="0.25">
      <c r="C41" s="2" t="s">
        <v>38</v>
      </c>
      <c r="E41" s="14" t="s">
        <v>36</v>
      </c>
      <c r="F41" s="2">
        <v>40</v>
      </c>
      <c r="H41" s="2">
        <v>0</v>
      </c>
      <c r="J41" s="2">
        <f t="shared" si="3"/>
        <v>0</v>
      </c>
      <c r="K41" s="2" t="s">
        <v>32</v>
      </c>
    </row>
    <row r="42" spans="1:11" ht="30" x14ac:dyDescent="0.25">
      <c r="C42" s="2" t="s">
        <v>35</v>
      </c>
      <c r="E42" s="14" t="s">
        <v>36</v>
      </c>
      <c r="F42" s="2">
        <v>40</v>
      </c>
      <c r="H42" s="2">
        <v>0</v>
      </c>
      <c r="J42" s="2">
        <f t="shared" si="3"/>
        <v>0</v>
      </c>
      <c r="K42" s="2" t="s">
        <v>32</v>
      </c>
    </row>
    <row r="43" spans="1:11" x14ac:dyDescent="0.25">
      <c r="B43" s="2" t="s">
        <v>39</v>
      </c>
      <c r="J43" s="2">
        <f t="shared" si="3"/>
        <v>0</v>
      </c>
    </row>
    <row r="44" spans="1:11" x14ac:dyDescent="0.25">
      <c r="C44" s="2" t="s">
        <v>23</v>
      </c>
      <c r="E44" s="14">
        <v>1</v>
      </c>
      <c r="F44" s="2">
        <v>2</v>
      </c>
      <c r="H44" s="2">
        <f t="shared" si="2"/>
        <v>1536</v>
      </c>
      <c r="I44" s="20">
        <v>0.1</v>
      </c>
      <c r="J44" s="2">
        <f t="shared" si="3"/>
        <v>153.60000000000002</v>
      </c>
      <c r="K44" s="2" t="s">
        <v>32</v>
      </c>
    </row>
    <row r="45" spans="1:11" ht="30" x14ac:dyDescent="0.25">
      <c r="C45" s="2" t="s">
        <v>35</v>
      </c>
      <c r="E45" s="14" t="s">
        <v>36</v>
      </c>
      <c r="F45" s="2">
        <v>1</v>
      </c>
      <c r="H45" s="2">
        <v>0</v>
      </c>
      <c r="J45" s="2">
        <f t="shared" si="3"/>
        <v>0</v>
      </c>
      <c r="K45" s="2" t="s">
        <v>32</v>
      </c>
    </row>
    <row r="46" spans="1:11" x14ac:dyDescent="0.25">
      <c r="C46" s="2" t="s">
        <v>40</v>
      </c>
      <c r="E46" s="14" t="s">
        <v>41</v>
      </c>
      <c r="F46" s="2">
        <v>0.1</v>
      </c>
      <c r="H46" s="2">
        <f>$G$33*F46</f>
        <v>76.800000000000011</v>
      </c>
      <c r="I46" s="20">
        <v>1</v>
      </c>
      <c r="J46" s="2">
        <f t="shared" si="3"/>
        <v>76.800000000000011</v>
      </c>
      <c r="K46" s="2" t="s">
        <v>32</v>
      </c>
    </row>
    <row r="47" spans="1:11" x14ac:dyDescent="0.25">
      <c r="G47" s="2" t="s">
        <v>15</v>
      </c>
      <c r="H47" s="19">
        <f>SUM(H35:H46)</f>
        <v>47692.800000000003</v>
      </c>
      <c r="I47" s="21">
        <f>J47/H47</f>
        <v>0.17632850241545894</v>
      </c>
      <c r="J47" s="22">
        <f>SUM(J35:J46)</f>
        <v>8409.6</v>
      </c>
    </row>
    <row r="48" spans="1:11" x14ac:dyDescent="0.25">
      <c r="J48" s="23">
        <f>J47/$J$141</f>
        <v>4.0859687566182322E-3</v>
      </c>
    </row>
    <row r="49" spans="1:11" x14ac:dyDescent="0.25">
      <c r="A49" s="8" t="s">
        <v>42</v>
      </c>
      <c r="G49" s="2">
        <f>G33*M6</f>
        <v>12288</v>
      </c>
    </row>
    <row r="50" spans="1:11" x14ac:dyDescent="0.25">
      <c r="B50" s="2" t="s">
        <v>26</v>
      </c>
    </row>
    <row r="51" spans="1:11" x14ac:dyDescent="0.25">
      <c r="C51" s="2" t="s">
        <v>43</v>
      </c>
      <c r="E51" s="14">
        <v>1</v>
      </c>
      <c r="F51" s="2">
        <v>3</v>
      </c>
      <c r="H51" s="2">
        <f>($G$49*F51)/E51</f>
        <v>36864</v>
      </c>
      <c r="I51" s="20">
        <v>0.2</v>
      </c>
      <c r="J51" s="2">
        <f t="shared" si="3"/>
        <v>7372.8</v>
      </c>
      <c r="K51" s="2" t="s">
        <v>32</v>
      </c>
    </row>
    <row r="52" spans="1:11" x14ac:dyDescent="0.25">
      <c r="C52" s="2" t="s">
        <v>44</v>
      </c>
      <c r="E52" s="14">
        <v>1</v>
      </c>
      <c r="F52" s="2">
        <v>9</v>
      </c>
      <c r="H52" s="2">
        <f t="shared" ref="H52:H70" si="4">($G$49*F52)/E52</f>
        <v>110592</v>
      </c>
      <c r="I52" s="20">
        <v>0.2</v>
      </c>
      <c r="J52" s="2">
        <f t="shared" si="3"/>
        <v>22118.400000000001</v>
      </c>
      <c r="K52" s="2" t="s">
        <v>32</v>
      </c>
    </row>
    <row r="53" spans="1:11" x14ac:dyDescent="0.25">
      <c r="C53" s="2" t="s">
        <v>45</v>
      </c>
      <c r="E53" s="14">
        <v>1</v>
      </c>
      <c r="F53" s="2">
        <v>9</v>
      </c>
      <c r="H53" s="2">
        <f t="shared" si="4"/>
        <v>110592</v>
      </c>
      <c r="I53" s="20">
        <v>0.2</v>
      </c>
      <c r="J53" s="2">
        <f t="shared" si="3"/>
        <v>22118.400000000001</v>
      </c>
      <c r="K53" s="2" t="s">
        <v>46</v>
      </c>
    </row>
    <row r="54" spans="1:11" x14ac:dyDescent="0.25">
      <c r="C54" s="2" t="s">
        <v>47</v>
      </c>
      <c r="E54" s="14">
        <v>1</v>
      </c>
      <c r="F54" s="2">
        <v>3</v>
      </c>
      <c r="H54" s="2">
        <f t="shared" si="4"/>
        <v>36864</v>
      </c>
      <c r="I54" s="20">
        <v>0.2</v>
      </c>
      <c r="J54" s="2">
        <f t="shared" si="3"/>
        <v>7372.8</v>
      </c>
      <c r="K54" s="2" t="s">
        <v>32</v>
      </c>
    </row>
    <row r="55" spans="1:11" x14ac:dyDescent="0.25">
      <c r="C55" s="2" t="s">
        <v>48</v>
      </c>
      <c r="E55" s="14">
        <v>1</v>
      </c>
      <c r="F55" s="2">
        <v>3</v>
      </c>
      <c r="H55" s="2">
        <f t="shared" si="4"/>
        <v>36864</v>
      </c>
      <c r="I55" s="20">
        <v>0.2</v>
      </c>
      <c r="J55" s="2">
        <f t="shared" si="3"/>
        <v>7372.8</v>
      </c>
      <c r="K55" s="2" t="s">
        <v>32</v>
      </c>
    </row>
    <row r="56" spans="1:11" x14ac:dyDescent="0.25">
      <c r="B56" s="2" t="s">
        <v>18</v>
      </c>
      <c r="E56" s="14">
        <v>1</v>
      </c>
      <c r="F56" s="2">
        <v>4</v>
      </c>
      <c r="H56" s="2">
        <f t="shared" si="4"/>
        <v>49152</v>
      </c>
      <c r="I56" s="20">
        <v>0.2</v>
      </c>
      <c r="J56" s="2">
        <f t="shared" si="3"/>
        <v>9830.4000000000015</v>
      </c>
      <c r="K56" s="2" t="s">
        <v>32</v>
      </c>
    </row>
    <row r="57" spans="1:11" ht="30" x14ac:dyDescent="0.25">
      <c r="B57" s="2" t="s">
        <v>35</v>
      </c>
      <c r="E57" s="14" t="s">
        <v>36</v>
      </c>
      <c r="F57" s="2">
        <v>1</v>
      </c>
      <c r="H57" s="2">
        <v>0</v>
      </c>
      <c r="J57" s="2">
        <f t="shared" si="3"/>
        <v>0</v>
      </c>
    </row>
    <row r="58" spans="1:11" x14ac:dyDescent="0.25">
      <c r="B58" s="2" t="s">
        <v>47</v>
      </c>
    </row>
    <row r="59" spans="1:11" x14ac:dyDescent="0.25">
      <c r="C59" s="2" t="s">
        <v>49</v>
      </c>
      <c r="E59" s="14" t="s">
        <v>41</v>
      </c>
      <c r="F59" s="2">
        <v>1E-3</v>
      </c>
      <c r="H59" s="2">
        <f>$G$49*F59</f>
        <v>12.288</v>
      </c>
      <c r="I59" s="20">
        <v>1</v>
      </c>
      <c r="J59" s="2">
        <f>I59*H59</f>
        <v>12.288</v>
      </c>
      <c r="K59" s="2" t="s">
        <v>46</v>
      </c>
    </row>
    <row r="60" spans="1:11" x14ac:dyDescent="0.25">
      <c r="C60" s="2" t="s">
        <v>23</v>
      </c>
      <c r="E60" s="14">
        <v>1</v>
      </c>
      <c r="F60" s="2">
        <v>1</v>
      </c>
      <c r="H60" s="2">
        <f t="shared" si="4"/>
        <v>12288</v>
      </c>
      <c r="I60" s="20">
        <v>0.05</v>
      </c>
      <c r="J60" s="2">
        <f>I60*H60</f>
        <v>614.40000000000009</v>
      </c>
      <c r="K60" s="2" t="s">
        <v>46</v>
      </c>
    </row>
    <row r="61" spans="1:11" ht="30" x14ac:dyDescent="0.25">
      <c r="C61" s="2" t="s">
        <v>35</v>
      </c>
      <c r="E61" s="14" t="s">
        <v>36</v>
      </c>
      <c r="F61" s="2">
        <v>8</v>
      </c>
      <c r="H61" s="2">
        <v>0</v>
      </c>
      <c r="J61" s="2">
        <f>I61*H61</f>
        <v>0</v>
      </c>
      <c r="K61" s="2" t="s">
        <v>46</v>
      </c>
    </row>
    <row r="62" spans="1:11" x14ac:dyDescent="0.25">
      <c r="B62" s="2" t="s">
        <v>50</v>
      </c>
    </row>
    <row r="63" spans="1:11" x14ac:dyDescent="0.25">
      <c r="C63" s="2" t="s">
        <v>49</v>
      </c>
      <c r="E63" s="14" t="s">
        <v>41</v>
      </c>
      <c r="F63" s="2">
        <v>1E-4</v>
      </c>
      <c r="H63" s="2">
        <f>$G$49*F63</f>
        <v>1.2288000000000001</v>
      </c>
      <c r="I63" s="20">
        <v>1</v>
      </c>
      <c r="J63" s="2">
        <f>I63*H63</f>
        <v>1.2288000000000001</v>
      </c>
      <c r="K63" s="2" t="s">
        <v>46</v>
      </c>
    </row>
    <row r="64" spans="1:11" x14ac:dyDescent="0.25">
      <c r="C64" s="2" t="s">
        <v>51</v>
      </c>
      <c r="E64" s="14">
        <v>1</v>
      </c>
      <c r="F64" s="2">
        <v>4</v>
      </c>
      <c r="H64" s="2">
        <f t="shared" si="4"/>
        <v>49152</v>
      </c>
      <c r="I64" s="20">
        <v>0.01</v>
      </c>
      <c r="J64" s="2">
        <f>I64*H64</f>
        <v>491.52</v>
      </c>
      <c r="K64" s="2" t="s">
        <v>46</v>
      </c>
    </row>
    <row r="65" spans="1:11" ht="30" x14ac:dyDescent="0.25">
      <c r="C65" s="2" t="s">
        <v>35</v>
      </c>
      <c r="E65" s="14" t="s">
        <v>36</v>
      </c>
      <c r="F65" s="2">
        <v>2</v>
      </c>
      <c r="H65" s="2">
        <v>0</v>
      </c>
      <c r="J65" s="2">
        <f>I65*H65</f>
        <v>0</v>
      </c>
      <c r="K65" s="2" t="s">
        <v>46</v>
      </c>
    </row>
    <row r="66" spans="1:11" x14ac:dyDescent="0.25">
      <c r="B66" s="2" t="s">
        <v>52</v>
      </c>
    </row>
    <row r="67" spans="1:11" x14ac:dyDescent="0.25">
      <c r="C67" s="2" t="s">
        <v>49</v>
      </c>
      <c r="E67" s="14" t="s">
        <v>41</v>
      </c>
      <c r="F67" s="2">
        <v>1E-4</v>
      </c>
      <c r="H67" s="2">
        <f>$G$49*F67</f>
        <v>1.2288000000000001</v>
      </c>
      <c r="I67" s="20">
        <v>1</v>
      </c>
      <c r="J67" s="2">
        <f>I67*H67</f>
        <v>1.2288000000000001</v>
      </c>
    </row>
    <row r="68" spans="1:11" x14ac:dyDescent="0.25">
      <c r="C68" s="2" t="s">
        <v>23</v>
      </c>
      <c r="E68" s="14">
        <v>1</v>
      </c>
      <c r="F68" s="2">
        <v>12</v>
      </c>
      <c r="H68" s="2">
        <f t="shared" si="4"/>
        <v>147456</v>
      </c>
      <c r="I68" s="20">
        <v>0.05</v>
      </c>
      <c r="J68" s="2">
        <f>I68*H68</f>
        <v>7372.8</v>
      </c>
    </row>
    <row r="69" spans="1:11" x14ac:dyDescent="0.25">
      <c r="B69" s="2" t="s">
        <v>53</v>
      </c>
    </row>
    <row r="70" spans="1:11" x14ac:dyDescent="0.25">
      <c r="C70" s="2" t="s">
        <v>23</v>
      </c>
      <c r="E70" s="14">
        <v>1</v>
      </c>
      <c r="F70" s="2">
        <v>4</v>
      </c>
      <c r="H70" s="2">
        <f t="shared" si="4"/>
        <v>49152</v>
      </c>
      <c r="I70" s="20">
        <v>1</v>
      </c>
      <c r="J70" s="2">
        <f>I70*H70</f>
        <v>49152</v>
      </c>
      <c r="K70" s="2" t="s">
        <v>46</v>
      </c>
    </row>
    <row r="71" spans="1:11" x14ac:dyDescent="0.25">
      <c r="C71" s="2" t="s">
        <v>54</v>
      </c>
      <c r="E71" s="14">
        <v>1</v>
      </c>
      <c r="F71" s="15">
        <v>100</v>
      </c>
      <c r="H71" s="2">
        <f>($G$49*F71)/E71</f>
        <v>1228800</v>
      </c>
      <c r="I71" s="20">
        <v>1</v>
      </c>
      <c r="J71" s="2">
        <f>I71*H71</f>
        <v>1228800</v>
      </c>
      <c r="K71" s="2" t="s">
        <v>46</v>
      </c>
    </row>
    <row r="72" spans="1:11" x14ac:dyDescent="0.25">
      <c r="C72" s="2" t="s">
        <v>34</v>
      </c>
      <c r="E72" s="14">
        <v>1</v>
      </c>
      <c r="F72" s="2">
        <v>2</v>
      </c>
      <c r="H72" s="2">
        <f>($G$49*F72)/E72</f>
        <v>24576</v>
      </c>
      <c r="I72" s="20">
        <v>0.1</v>
      </c>
      <c r="J72" s="2">
        <f>I72*H72</f>
        <v>2457.6000000000004</v>
      </c>
      <c r="K72" s="2" t="s">
        <v>46</v>
      </c>
    </row>
    <row r="73" spans="1:11" x14ac:dyDescent="0.25">
      <c r="C73" s="2" t="s">
        <v>40</v>
      </c>
      <c r="E73" s="14" t="s">
        <v>41</v>
      </c>
      <c r="F73" s="2">
        <v>0.1</v>
      </c>
      <c r="H73" s="2">
        <f>$G$49*F73</f>
        <v>1228.8000000000002</v>
      </c>
      <c r="I73" s="20">
        <v>1</v>
      </c>
      <c r="J73" s="2">
        <f>I73*H73</f>
        <v>1228.8000000000002</v>
      </c>
      <c r="K73" s="2" t="s">
        <v>46</v>
      </c>
    </row>
    <row r="74" spans="1:11" x14ac:dyDescent="0.25">
      <c r="C74" s="2" t="s">
        <v>55</v>
      </c>
      <c r="E74" s="14">
        <v>1</v>
      </c>
      <c r="F74" s="2">
        <v>8</v>
      </c>
      <c r="G74" s="2">
        <f>F74*M8</f>
        <v>32</v>
      </c>
      <c r="H74" s="2">
        <f>($G$49*G74)/E74</f>
        <v>393216</v>
      </c>
      <c r="I74" s="20">
        <v>0.1</v>
      </c>
      <c r="J74" s="2">
        <f>I74*H74</f>
        <v>39321.600000000006</v>
      </c>
      <c r="K74" s="2" t="s">
        <v>46</v>
      </c>
    </row>
    <row r="75" spans="1:11" x14ac:dyDescent="0.25">
      <c r="G75" s="2" t="s">
        <v>15</v>
      </c>
      <c r="H75" s="19">
        <f>SUM(H51:H74)</f>
        <v>2286811.5455999998</v>
      </c>
      <c r="I75" s="21">
        <f>J75/H75</f>
        <v>0.61467201716055586</v>
      </c>
      <c r="J75" s="22">
        <f>SUM(J51:J74)</f>
        <v>1405639.0656000003</v>
      </c>
    </row>
    <row r="76" spans="1:11" x14ac:dyDescent="0.25">
      <c r="J76" s="24">
        <f>J75/$J$141</f>
        <v>0.68295725184594347</v>
      </c>
    </row>
    <row r="77" spans="1:11" x14ac:dyDescent="0.25">
      <c r="A77" s="8" t="s">
        <v>56</v>
      </c>
      <c r="G77" s="2">
        <f>G33*M7</f>
        <v>1536</v>
      </c>
    </row>
    <row r="78" spans="1:11" x14ac:dyDescent="0.25">
      <c r="B78" s="2" t="s">
        <v>26</v>
      </c>
      <c r="E78" s="14">
        <v>1</v>
      </c>
      <c r="F78" s="2">
        <v>3</v>
      </c>
      <c r="H78" s="2">
        <f>($G$77*F78)/E78</f>
        <v>4608</v>
      </c>
      <c r="I78" s="20">
        <v>0.2</v>
      </c>
      <c r="J78" s="2">
        <f>I78*H78</f>
        <v>921.6</v>
      </c>
      <c r="K78" s="2" t="s">
        <v>57</v>
      </c>
    </row>
    <row r="79" spans="1:11" x14ac:dyDescent="0.25">
      <c r="B79" s="2" t="s">
        <v>18</v>
      </c>
      <c r="E79" s="14">
        <v>1</v>
      </c>
      <c r="F79" s="2">
        <v>4</v>
      </c>
      <c r="H79" s="2">
        <f>($G$77*F79)/E79</f>
        <v>6144</v>
      </c>
      <c r="I79" s="20">
        <v>0.2</v>
      </c>
      <c r="J79" s="2">
        <f>I79*H79</f>
        <v>1228.8000000000002</v>
      </c>
      <c r="K79" s="2" t="s">
        <v>57</v>
      </c>
    </row>
    <row r="80" spans="1:11" x14ac:dyDescent="0.25">
      <c r="B80" s="2" t="s">
        <v>58</v>
      </c>
      <c r="C80" s="14" t="s">
        <v>59</v>
      </c>
      <c r="D80" s="26">
        <f>M10</f>
        <v>60</v>
      </c>
      <c r="G80" s="2">
        <f>G77*D80</f>
        <v>92160</v>
      </c>
    </row>
    <row r="81" spans="1:11" x14ac:dyDescent="0.25">
      <c r="C81" s="2" t="s">
        <v>51</v>
      </c>
      <c r="E81" s="14">
        <v>1</v>
      </c>
      <c r="F81" s="2">
        <v>4</v>
      </c>
      <c r="H81" s="2">
        <f>($G$80*F81)/E81</f>
        <v>368640</v>
      </c>
      <c r="I81" s="20">
        <v>0</v>
      </c>
      <c r="J81" s="2">
        <f>I81*H81</f>
        <v>0</v>
      </c>
      <c r="K81" s="2" t="s">
        <v>57</v>
      </c>
    </row>
    <row r="82" spans="1:11" x14ac:dyDescent="0.25">
      <c r="C82" s="2" t="s">
        <v>60</v>
      </c>
      <c r="E82" s="14">
        <v>1</v>
      </c>
      <c r="F82" s="2">
        <v>2</v>
      </c>
      <c r="H82" s="2">
        <f>($G$80*F82)/E82</f>
        <v>184320</v>
      </c>
      <c r="I82" s="20">
        <v>0.25</v>
      </c>
      <c r="J82" s="2">
        <f>I82*H82</f>
        <v>46080</v>
      </c>
      <c r="K82" s="2" t="s">
        <v>57</v>
      </c>
    </row>
    <row r="83" spans="1:11" x14ac:dyDescent="0.25">
      <c r="C83" s="2" t="s">
        <v>49</v>
      </c>
      <c r="E83" s="14">
        <v>1</v>
      </c>
      <c r="F83" s="2">
        <v>2</v>
      </c>
      <c r="H83" s="2">
        <f>($G$80*F83)/E83</f>
        <v>184320</v>
      </c>
      <c r="I83" s="20">
        <v>1E-4</v>
      </c>
      <c r="J83" s="2">
        <f>I83*H83</f>
        <v>18.432000000000002</v>
      </c>
      <c r="K83" s="2" t="s">
        <v>57</v>
      </c>
    </row>
    <row r="84" spans="1:11" ht="45" x14ac:dyDescent="0.25">
      <c r="C84" s="2" t="s">
        <v>61</v>
      </c>
      <c r="E84" s="14">
        <v>1</v>
      </c>
      <c r="F84" s="2">
        <v>2</v>
      </c>
      <c r="H84" s="2">
        <f>($G$80*F84)/E84</f>
        <v>184320</v>
      </c>
      <c r="I84" s="20">
        <v>1.6E-2</v>
      </c>
      <c r="J84" s="2">
        <f>I84*H84</f>
        <v>2949.12</v>
      </c>
      <c r="K84" s="2" t="s">
        <v>57</v>
      </c>
    </row>
    <row r="85" spans="1:11" ht="30" x14ac:dyDescent="0.25">
      <c r="C85" s="2" t="s">
        <v>35</v>
      </c>
      <c r="E85" s="14" t="s">
        <v>36</v>
      </c>
      <c r="F85" s="2">
        <v>1</v>
      </c>
      <c r="H85" s="2">
        <v>0</v>
      </c>
      <c r="J85" s="2">
        <f>I85*H85</f>
        <v>0</v>
      </c>
      <c r="K85" s="2" t="s">
        <v>57</v>
      </c>
    </row>
    <row r="86" spans="1:11" x14ac:dyDescent="0.25">
      <c r="B86" s="2" t="s">
        <v>62</v>
      </c>
      <c r="C86" s="14" t="s">
        <v>63</v>
      </c>
      <c r="D86" s="17">
        <f>M11</f>
        <v>16</v>
      </c>
      <c r="E86" s="16"/>
      <c r="G86" s="2">
        <f>G80*D86</f>
        <v>1474560</v>
      </c>
    </row>
    <row r="87" spans="1:11" x14ac:dyDescent="0.25">
      <c r="C87" s="2" t="s">
        <v>60</v>
      </c>
      <c r="E87" s="14">
        <v>1</v>
      </c>
      <c r="F87" s="2">
        <v>2</v>
      </c>
      <c r="H87" s="2">
        <f>($G$86*F87)/E87</f>
        <v>2949120</v>
      </c>
      <c r="I87" s="20">
        <v>0.2</v>
      </c>
      <c r="J87" s="2">
        <f>I87*H87</f>
        <v>589824</v>
      </c>
      <c r="K87" s="2" t="s">
        <v>57</v>
      </c>
    </row>
    <row r="88" spans="1:11" ht="30" x14ac:dyDescent="0.25">
      <c r="C88" s="2" t="s">
        <v>64</v>
      </c>
      <c r="E88" s="14">
        <v>1</v>
      </c>
      <c r="F88" s="2">
        <v>2</v>
      </c>
      <c r="H88" s="2">
        <f>($G$86*F88)/E88</f>
        <v>2949120</v>
      </c>
      <c r="I88" s="20">
        <v>1E-4</v>
      </c>
      <c r="J88" s="2">
        <f>I88*H88</f>
        <v>294.91200000000003</v>
      </c>
      <c r="K88" s="2" t="s">
        <v>57</v>
      </c>
    </row>
    <row r="89" spans="1:11" x14ac:dyDescent="0.25">
      <c r="G89" s="2" t="s">
        <v>15</v>
      </c>
      <c r="H89" s="19">
        <f>SUM(H78:H88)</f>
        <v>6830592</v>
      </c>
      <c r="I89" s="21">
        <f>J89/H89</f>
        <v>9.3888913874522154E-2</v>
      </c>
      <c r="J89" s="22">
        <f>SUM(J78:J88)</f>
        <v>641316.86400000006</v>
      </c>
    </row>
    <row r="90" spans="1:11" x14ac:dyDescent="0.25">
      <c r="J90" s="24">
        <f>J89/$J$141</f>
        <v>0.31159635052753804</v>
      </c>
    </row>
    <row r="91" spans="1:11" x14ac:dyDescent="0.25">
      <c r="A91" s="8" t="s">
        <v>65</v>
      </c>
      <c r="J91" s="20"/>
    </row>
    <row r="92" spans="1:11" x14ac:dyDescent="0.25">
      <c r="B92" s="2" t="s">
        <v>66</v>
      </c>
      <c r="G92" s="15">
        <v>6</v>
      </c>
    </row>
    <row r="93" spans="1:11" x14ac:dyDescent="0.25">
      <c r="C93" s="2" t="s">
        <v>23</v>
      </c>
      <c r="E93" s="14">
        <v>1</v>
      </c>
      <c r="F93" s="2">
        <v>5</v>
      </c>
      <c r="H93" s="2">
        <f>($G$92*F93)/E93</f>
        <v>30</v>
      </c>
      <c r="I93" s="20">
        <v>0.1</v>
      </c>
      <c r="J93" s="2">
        <f>I93*H93</f>
        <v>3</v>
      </c>
      <c r="K93" s="2" t="s">
        <v>67</v>
      </c>
    </row>
    <row r="94" spans="1:11" x14ac:dyDescent="0.25">
      <c r="C94" s="2" t="s">
        <v>40</v>
      </c>
      <c r="E94" s="14" t="s">
        <v>41</v>
      </c>
      <c r="F94" s="2">
        <v>0.1</v>
      </c>
      <c r="H94" s="2">
        <f>$G$92*F94</f>
        <v>0.60000000000000009</v>
      </c>
      <c r="I94" s="20">
        <v>1</v>
      </c>
      <c r="J94" s="2">
        <f>I94*H94</f>
        <v>0.60000000000000009</v>
      </c>
      <c r="K94" s="2" t="s">
        <v>67</v>
      </c>
    </row>
    <row r="95" spans="1:11" ht="30" x14ac:dyDescent="0.25">
      <c r="C95" s="2" t="s">
        <v>35</v>
      </c>
      <c r="E95" s="14" t="s">
        <v>36</v>
      </c>
      <c r="F95" s="2">
        <v>1</v>
      </c>
    </row>
    <row r="96" spans="1:11" x14ac:dyDescent="0.25">
      <c r="B96" s="2" t="s">
        <v>68</v>
      </c>
      <c r="G96" s="15">
        <v>12</v>
      </c>
    </row>
    <row r="97" spans="1:11" x14ac:dyDescent="0.25">
      <c r="C97" s="2" t="s">
        <v>23</v>
      </c>
      <c r="E97" s="14">
        <v>1</v>
      </c>
      <c r="F97" s="2">
        <v>5</v>
      </c>
      <c r="H97" s="2">
        <f>($G$96*F97)/E97</f>
        <v>60</v>
      </c>
      <c r="I97" s="20">
        <v>0.1</v>
      </c>
      <c r="J97" s="2">
        <f>I97*H97</f>
        <v>6</v>
      </c>
      <c r="K97" s="2" t="s">
        <v>67</v>
      </c>
    </row>
    <row r="98" spans="1:11" x14ac:dyDescent="0.25">
      <c r="C98" s="2" t="s">
        <v>60</v>
      </c>
      <c r="E98" s="14">
        <v>1</v>
      </c>
      <c r="F98" s="2">
        <v>20</v>
      </c>
      <c r="H98" s="2">
        <f>($G$96*F98)/E98</f>
        <v>240</v>
      </c>
      <c r="I98" s="20">
        <v>0.25</v>
      </c>
      <c r="J98" s="2">
        <f>I98*H98</f>
        <v>60</v>
      </c>
      <c r="K98" s="2" t="s">
        <v>67</v>
      </c>
    </row>
    <row r="99" spans="1:11" x14ac:dyDescent="0.25">
      <c r="C99" s="2" t="s">
        <v>40</v>
      </c>
      <c r="E99" s="14" t="s">
        <v>41</v>
      </c>
      <c r="F99" s="2">
        <v>0.1</v>
      </c>
      <c r="H99" s="2">
        <f>$G$96*F99</f>
        <v>1.2000000000000002</v>
      </c>
      <c r="I99" s="20">
        <v>1</v>
      </c>
      <c r="J99" s="2">
        <f>I99*H99</f>
        <v>1.2000000000000002</v>
      </c>
      <c r="K99" s="2" t="s">
        <v>67</v>
      </c>
    </row>
    <row r="100" spans="1:11" ht="30" x14ac:dyDescent="0.25">
      <c r="C100" s="2" t="s">
        <v>35</v>
      </c>
      <c r="E100" s="14" t="s">
        <v>36</v>
      </c>
      <c r="F100" s="2">
        <v>32</v>
      </c>
    </row>
    <row r="101" spans="1:11" x14ac:dyDescent="0.25">
      <c r="B101" s="2" t="s">
        <v>69</v>
      </c>
      <c r="G101" s="15">
        <v>100</v>
      </c>
    </row>
    <row r="102" spans="1:11" x14ac:dyDescent="0.25">
      <c r="C102" s="2" t="s">
        <v>23</v>
      </c>
      <c r="E102" s="14">
        <v>1</v>
      </c>
      <c r="F102" s="2">
        <v>5</v>
      </c>
      <c r="H102" s="2">
        <f>($G$101*F102)/E102</f>
        <v>500</v>
      </c>
      <c r="I102" s="20">
        <v>0.1</v>
      </c>
      <c r="J102" s="2">
        <f>I102*H102</f>
        <v>50</v>
      </c>
      <c r="K102" s="2" t="s">
        <v>67</v>
      </c>
    </row>
    <row r="103" spans="1:11" x14ac:dyDescent="0.25">
      <c r="C103" s="2" t="s">
        <v>40</v>
      </c>
      <c r="E103" s="14" t="s">
        <v>41</v>
      </c>
      <c r="F103" s="2">
        <v>0.1</v>
      </c>
      <c r="H103" s="2">
        <f>$G$101*F103</f>
        <v>10</v>
      </c>
      <c r="I103" s="20">
        <v>1</v>
      </c>
      <c r="J103" s="2">
        <f>I103*H103</f>
        <v>10</v>
      </c>
      <c r="K103" s="2" t="s">
        <v>67</v>
      </c>
    </row>
    <row r="104" spans="1:11" ht="30" x14ac:dyDescent="0.25">
      <c r="C104" s="2" t="s">
        <v>35</v>
      </c>
      <c r="E104" s="14" t="s">
        <v>36</v>
      </c>
      <c r="F104" s="2">
        <v>1</v>
      </c>
    </row>
    <row r="105" spans="1:11" x14ac:dyDescent="0.25">
      <c r="B105" s="2" t="s">
        <v>70</v>
      </c>
      <c r="G105" s="15">
        <v>200</v>
      </c>
    </row>
    <row r="106" spans="1:11" x14ac:dyDescent="0.25">
      <c r="C106" s="2" t="s">
        <v>23</v>
      </c>
      <c r="E106" s="14">
        <v>1</v>
      </c>
      <c r="F106" s="2">
        <v>5</v>
      </c>
      <c r="H106" s="2">
        <f>($G$105*F106)/E106</f>
        <v>1000</v>
      </c>
      <c r="I106" s="20">
        <v>0.1</v>
      </c>
      <c r="J106" s="2">
        <f>I106*H106</f>
        <v>100</v>
      </c>
      <c r="K106" s="2" t="s">
        <v>67</v>
      </c>
    </row>
    <row r="107" spans="1:11" x14ac:dyDescent="0.25">
      <c r="C107" s="2" t="s">
        <v>60</v>
      </c>
      <c r="E107" s="14">
        <v>1</v>
      </c>
      <c r="F107" s="2">
        <v>20</v>
      </c>
      <c r="H107" s="2">
        <f>($G$105*F107)/E107</f>
        <v>4000</v>
      </c>
      <c r="I107" s="20">
        <v>0.25</v>
      </c>
      <c r="J107" s="2">
        <f>I107*H107</f>
        <v>1000</v>
      </c>
      <c r="K107" s="2" t="s">
        <v>67</v>
      </c>
    </row>
    <row r="108" spans="1:11" x14ac:dyDescent="0.25">
      <c r="C108" s="2" t="s">
        <v>40</v>
      </c>
      <c r="E108" s="14" t="s">
        <v>41</v>
      </c>
      <c r="F108" s="2">
        <v>0.1</v>
      </c>
      <c r="H108" s="2">
        <f>$G$105*F108</f>
        <v>20</v>
      </c>
      <c r="I108" s="20">
        <v>1</v>
      </c>
      <c r="J108" s="2">
        <f>I108*H108</f>
        <v>20</v>
      </c>
      <c r="K108" s="2" t="s">
        <v>67</v>
      </c>
    </row>
    <row r="109" spans="1:11" ht="30" x14ac:dyDescent="0.25">
      <c r="C109" s="2" t="s">
        <v>35</v>
      </c>
      <c r="E109" s="14" t="s">
        <v>36</v>
      </c>
      <c r="F109" s="2">
        <v>32</v>
      </c>
    </row>
    <row r="110" spans="1:11" x14ac:dyDescent="0.25">
      <c r="G110" s="2" t="s">
        <v>15</v>
      </c>
      <c r="H110" s="19">
        <f>SUM(H93:H109)</f>
        <v>5861.8</v>
      </c>
      <c r="I110" s="21">
        <f>J110/H110</f>
        <v>0.21338155515370705</v>
      </c>
      <c r="J110" s="22">
        <f>SUM(J93:J109)</f>
        <v>1250.8</v>
      </c>
    </row>
    <row r="111" spans="1:11" x14ac:dyDescent="0.25">
      <c r="J111" s="24">
        <f>J110/$J$141</f>
        <v>6.0772566124168623E-4</v>
      </c>
    </row>
    <row r="112" spans="1:11" x14ac:dyDescent="0.25">
      <c r="A112" s="8" t="s">
        <v>71</v>
      </c>
      <c r="G112" s="15">
        <v>24</v>
      </c>
    </row>
    <row r="113" spans="2:11" ht="30" x14ac:dyDescent="0.25">
      <c r="B113" s="2" t="s">
        <v>35</v>
      </c>
      <c r="E113" s="14" t="s">
        <v>36</v>
      </c>
      <c r="H113" s="2">
        <v>0</v>
      </c>
      <c r="J113" s="2">
        <f>I113*H113</f>
        <v>0</v>
      </c>
      <c r="K113" s="2" t="s">
        <v>72</v>
      </c>
    </row>
    <row r="114" spans="2:11" x14ac:dyDescent="0.25">
      <c r="B114" s="2" t="s">
        <v>26</v>
      </c>
      <c r="E114" s="14">
        <v>1</v>
      </c>
      <c r="F114" s="2">
        <v>3</v>
      </c>
      <c r="H114" s="2">
        <f>($G$112*F114)/E114</f>
        <v>72</v>
      </c>
      <c r="I114" s="20">
        <v>0.2</v>
      </c>
      <c r="J114" s="2">
        <f>I114*H114</f>
        <v>14.4</v>
      </c>
      <c r="K114" s="2" t="s">
        <v>72</v>
      </c>
    </row>
    <row r="115" spans="2:11" x14ac:dyDescent="0.25">
      <c r="B115" s="2" t="s">
        <v>18</v>
      </c>
      <c r="E115" s="14">
        <v>1</v>
      </c>
      <c r="F115" s="2">
        <v>4</v>
      </c>
      <c r="H115" s="2">
        <f>($G$112*F115)/E115</f>
        <v>96</v>
      </c>
      <c r="I115" s="20">
        <v>0.2</v>
      </c>
      <c r="J115" s="2">
        <f>I115*H115</f>
        <v>19.200000000000003</v>
      </c>
      <c r="K115" s="2" t="s">
        <v>72</v>
      </c>
    </row>
    <row r="116" spans="2:11" ht="30" x14ac:dyDescent="0.25">
      <c r="B116" s="2" t="s">
        <v>73</v>
      </c>
      <c r="E116" s="14">
        <v>1</v>
      </c>
      <c r="F116" s="2">
        <v>4</v>
      </c>
      <c r="H116" s="2">
        <f>($G$112*F116)/E116</f>
        <v>96</v>
      </c>
      <c r="I116" s="20">
        <v>0.25</v>
      </c>
      <c r="J116" s="2">
        <f>I116*H116</f>
        <v>24</v>
      </c>
      <c r="K116" s="2" t="s">
        <v>72</v>
      </c>
    </row>
    <row r="117" spans="2:11" x14ac:dyDescent="0.25">
      <c r="B117" s="2" t="s">
        <v>47</v>
      </c>
    </row>
    <row r="118" spans="2:11" x14ac:dyDescent="0.25">
      <c r="C118" s="2" t="s">
        <v>49</v>
      </c>
      <c r="E118" s="14" t="s">
        <v>41</v>
      </c>
      <c r="F118" s="2">
        <v>1E-3</v>
      </c>
      <c r="H118" s="2">
        <f>$G$112*F118</f>
        <v>2.4E-2</v>
      </c>
      <c r="I118" s="20">
        <v>1</v>
      </c>
      <c r="J118" s="2">
        <f>I118*H118</f>
        <v>2.4E-2</v>
      </c>
      <c r="K118" s="2" t="s">
        <v>72</v>
      </c>
    </row>
    <row r="119" spans="2:11" x14ac:dyDescent="0.25">
      <c r="C119" s="2" t="s">
        <v>23</v>
      </c>
      <c r="E119" s="14">
        <v>1</v>
      </c>
      <c r="F119" s="2">
        <v>1</v>
      </c>
      <c r="H119" s="2">
        <f>($G$112*F119)/E119</f>
        <v>24</v>
      </c>
      <c r="I119" s="20">
        <v>0.05</v>
      </c>
      <c r="J119" s="2">
        <f>I119*H119</f>
        <v>1.2000000000000002</v>
      </c>
      <c r="K119" s="2" t="s">
        <v>72</v>
      </c>
    </row>
    <row r="120" spans="2:11" ht="30" x14ac:dyDescent="0.25">
      <c r="C120" s="2" t="s">
        <v>35</v>
      </c>
      <c r="E120" s="14" t="s">
        <v>36</v>
      </c>
      <c r="F120" s="2">
        <v>8</v>
      </c>
      <c r="H120" s="2">
        <v>0</v>
      </c>
      <c r="J120" s="2">
        <f>I120*H120</f>
        <v>0</v>
      </c>
      <c r="K120" s="2" t="s">
        <v>72</v>
      </c>
    </row>
    <row r="121" spans="2:11" x14ac:dyDescent="0.25">
      <c r="B121" s="2" t="s">
        <v>50</v>
      </c>
    </row>
    <row r="122" spans="2:11" x14ac:dyDescent="0.25">
      <c r="C122" s="2" t="s">
        <v>49</v>
      </c>
      <c r="E122" s="14" t="s">
        <v>41</v>
      </c>
      <c r="F122" s="2">
        <v>1E-4</v>
      </c>
      <c r="H122" s="2">
        <f>$G$112*F122</f>
        <v>2.4000000000000002E-3</v>
      </c>
      <c r="I122" s="20">
        <v>1</v>
      </c>
      <c r="J122" s="2">
        <f>I122*H122</f>
        <v>2.4000000000000002E-3</v>
      </c>
      <c r="K122" s="2" t="s">
        <v>72</v>
      </c>
    </row>
    <row r="123" spans="2:11" x14ac:dyDescent="0.25">
      <c r="C123" s="2" t="s">
        <v>51</v>
      </c>
      <c r="E123" s="14">
        <v>1</v>
      </c>
      <c r="F123" s="2">
        <v>4</v>
      </c>
      <c r="H123" s="2">
        <f>($G$112*F123)/E123</f>
        <v>96</v>
      </c>
      <c r="I123" s="20">
        <v>0.01</v>
      </c>
      <c r="J123" s="2">
        <f>I123*H123</f>
        <v>0.96</v>
      </c>
      <c r="K123" s="2" t="s">
        <v>72</v>
      </c>
    </row>
    <row r="124" spans="2:11" ht="30" x14ac:dyDescent="0.25">
      <c r="C124" s="2" t="s">
        <v>35</v>
      </c>
      <c r="E124" s="14" t="s">
        <v>36</v>
      </c>
      <c r="F124" s="2">
        <v>2</v>
      </c>
      <c r="H124" s="2">
        <v>0</v>
      </c>
      <c r="J124" s="2">
        <f>I124*H124</f>
        <v>0</v>
      </c>
      <c r="K124" s="2" t="s">
        <v>72</v>
      </c>
    </row>
    <row r="125" spans="2:11" x14ac:dyDescent="0.25">
      <c r="B125" s="2" t="s">
        <v>53</v>
      </c>
    </row>
    <row r="126" spans="2:11" x14ac:dyDescent="0.25">
      <c r="C126" s="2" t="s">
        <v>23</v>
      </c>
      <c r="E126" s="14">
        <v>1</v>
      </c>
      <c r="F126" s="2">
        <v>4</v>
      </c>
      <c r="H126" s="2">
        <f>($G$112*F126)/E126</f>
        <v>96</v>
      </c>
      <c r="I126" s="20">
        <v>1</v>
      </c>
      <c r="J126" s="2">
        <f t="shared" ref="J126:J132" si="5">I126*H126</f>
        <v>96</v>
      </c>
      <c r="K126" s="2" t="s">
        <v>72</v>
      </c>
    </row>
    <row r="127" spans="2:11" x14ac:dyDescent="0.25">
      <c r="C127" s="2" t="s">
        <v>34</v>
      </c>
      <c r="E127" s="14">
        <v>1</v>
      </c>
      <c r="F127" s="2">
        <v>2</v>
      </c>
      <c r="H127" s="2">
        <f>($G$112*F127)/E127</f>
        <v>48</v>
      </c>
      <c r="I127" s="20">
        <v>0.1</v>
      </c>
      <c r="J127" s="2">
        <f t="shared" si="5"/>
        <v>4.8000000000000007</v>
      </c>
      <c r="K127" s="2" t="s">
        <v>72</v>
      </c>
    </row>
    <row r="128" spans="2:11" x14ac:dyDescent="0.25">
      <c r="C128" s="2" t="s">
        <v>40</v>
      </c>
      <c r="E128" s="14" t="s">
        <v>41</v>
      </c>
      <c r="F128" s="2">
        <v>0.1</v>
      </c>
      <c r="H128" s="2">
        <f>$G$112*F128</f>
        <v>2.4000000000000004</v>
      </c>
      <c r="I128" s="20">
        <v>1</v>
      </c>
      <c r="J128" s="2">
        <f t="shared" si="5"/>
        <v>2.4000000000000004</v>
      </c>
      <c r="K128" s="2" t="s">
        <v>72</v>
      </c>
    </row>
    <row r="129" spans="2:17" x14ac:dyDescent="0.25">
      <c r="B129" s="2" t="s">
        <v>65</v>
      </c>
    </row>
    <row r="130" spans="2:17" x14ac:dyDescent="0.25">
      <c r="C130" s="2" t="s">
        <v>23</v>
      </c>
      <c r="E130" s="14">
        <v>1</v>
      </c>
      <c r="F130" s="2">
        <v>8</v>
      </c>
      <c r="H130" s="2">
        <f>($G$112*F130)/E130</f>
        <v>192</v>
      </c>
      <c r="I130" s="20">
        <v>1</v>
      </c>
      <c r="J130" s="2">
        <f t="shared" si="5"/>
        <v>192</v>
      </c>
      <c r="K130" s="2" t="s">
        <v>72</v>
      </c>
    </row>
    <row r="131" spans="2:17" x14ac:dyDescent="0.25">
      <c r="C131" s="2" t="s">
        <v>34</v>
      </c>
      <c r="E131" s="14">
        <v>1</v>
      </c>
      <c r="F131" s="2">
        <v>8</v>
      </c>
      <c r="H131" s="2">
        <f>($G$112*F131)/E131</f>
        <v>192</v>
      </c>
      <c r="I131" s="20">
        <v>0.1</v>
      </c>
      <c r="J131" s="2">
        <f t="shared" si="5"/>
        <v>19.200000000000003</v>
      </c>
      <c r="K131" s="2" t="s">
        <v>72</v>
      </c>
    </row>
    <row r="132" spans="2:17" ht="30" x14ac:dyDescent="0.25">
      <c r="C132" s="2" t="s">
        <v>35</v>
      </c>
      <c r="E132" s="14" t="s">
        <v>36</v>
      </c>
      <c r="F132" s="2">
        <v>8</v>
      </c>
      <c r="J132" s="2">
        <f t="shared" si="5"/>
        <v>0</v>
      </c>
      <c r="K132" s="2" t="s">
        <v>72</v>
      </c>
    </row>
    <row r="133" spans="2:17" x14ac:dyDescent="0.25">
      <c r="B133" s="2" t="s">
        <v>74</v>
      </c>
    </row>
    <row r="134" spans="2:17" x14ac:dyDescent="0.25">
      <c r="C134" s="2" t="s">
        <v>23</v>
      </c>
      <c r="E134" s="14">
        <v>1</v>
      </c>
      <c r="F134" s="2">
        <v>3</v>
      </c>
      <c r="H134" s="2">
        <f>($G$112*F134)/E134</f>
        <v>72</v>
      </c>
      <c r="I134" s="20">
        <v>1</v>
      </c>
      <c r="J134" s="2">
        <f>I134*H134</f>
        <v>72</v>
      </c>
      <c r="K134" s="2" t="s">
        <v>72</v>
      </c>
    </row>
    <row r="135" spans="2:17" x14ac:dyDescent="0.25">
      <c r="C135" s="2" t="s">
        <v>34</v>
      </c>
      <c r="E135" s="14">
        <v>1</v>
      </c>
      <c r="F135" s="2">
        <v>3</v>
      </c>
      <c r="H135" s="2">
        <f>($G$112*F135)/E135</f>
        <v>72</v>
      </c>
      <c r="I135" s="20">
        <v>0.1</v>
      </c>
      <c r="J135" s="2">
        <f>I135*H135</f>
        <v>7.2</v>
      </c>
      <c r="K135" s="2" t="s">
        <v>72</v>
      </c>
    </row>
    <row r="136" spans="2:17" x14ac:dyDescent="0.25">
      <c r="C136" s="2" t="s">
        <v>40</v>
      </c>
      <c r="E136" s="14" t="s">
        <v>41</v>
      </c>
      <c r="F136" s="2">
        <v>0.1</v>
      </c>
      <c r="H136" s="2">
        <f>$G$112*F136</f>
        <v>2.4000000000000004</v>
      </c>
      <c r="I136" s="20">
        <v>1</v>
      </c>
      <c r="J136" s="2">
        <f>I136*H136</f>
        <v>2.4000000000000004</v>
      </c>
      <c r="K136" s="2" t="s">
        <v>72</v>
      </c>
    </row>
    <row r="137" spans="2:17" x14ac:dyDescent="0.25">
      <c r="G137" s="2" t="s">
        <v>15</v>
      </c>
      <c r="H137" s="19">
        <f>SUM(H113:H136)</f>
        <v>1060.8263999999999</v>
      </c>
      <c r="I137" s="21">
        <f>J137/H137</f>
        <v>0.42965220322571157</v>
      </c>
      <c r="J137" s="22">
        <f>SUM(J113:J136)</f>
        <v>455.78639999999996</v>
      </c>
    </row>
    <row r="138" spans="2:17" x14ac:dyDescent="0.25">
      <c r="J138" s="24">
        <f>J137/$J$141</f>
        <v>2.2145274330425942E-4</v>
      </c>
    </row>
    <row r="139" spans="2:17" ht="60" x14ac:dyDescent="0.25">
      <c r="F139" s="2" t="s">
        <v>174</v>
      </c>
      <c r="G139" s="2">
        <f>SUM(G5:G10,G13,G24,G33,G49,G77,G92,G96,G101,G105,G112)</f>
        <v>15207</v>
      </c>
      <c r="K139" s="2" t="s">
        <v>168</v>
      </c>
      <c r="L139" s="15">
        <f>64+32+32</f>
        <v>128</v>
      </c>
      <c r="N139" t="s">
        <v>176</v>
      </c>
      <c r="O139" s="11">
        <v>256</v>
      </c>
      <c r="P139" s="2" t="s">
        <v>177</v>
      </c>
      <c r="Q139">
        <f>O139*1000*8/L139</f>
        <v>16000</v>
      </c>
    </row>
    <row r="140" spans="2:17" ht="30" x14ac:dyDescent="0.25">
      <c r="F140" s="2" t="s">
        <v>175</v>
      </c>
      <c r="G140" s="2">
        <f>SUM(F5:F10)+SUM(F15:F21)*G13+SUM(F26:F30)*G24+SUM(F35:F46)*G33+SUM(F51:F73)*G49+G74*G49+SUM(F78:F79)*G77+SUM(F81:F85)*G80+SUM(F87:F88)*G86+SUM(F93:F95)*G92+SUM(F97:F100)*G96+SUM(F102:F104)*G101+SUM(F106:F109)*G105+SUM(F114:F136)*G112</f>
        <v>9478887.9719999991</v>
      </c>
      <c r="K140" s="2" t="s">
        <v>75</v>
      </c>
      <c r="L140" s="2" t="s">
        <v>169</v>
      </c>
      <c r="N140" t="s">
        <v>173</v>
      </c>
      <c r="O140" s="11">
        <v>3</v>
      </c>
    </row>
    <row r="141" spans="2:17" x14ac:dyDescent="0.25">
      <c r="G141" s="2" t="s">
        <v>76</v>
      </c>
      <c r="H141" s="19">
        <f>SUM(H11,H22,H31,H47,H75,H89,H110,H137)</f>
        <v>9175109.1733888909</v>
      </c>
      <c r="I141" s="21">
        <f>J141/H141</f>
        <v>0.22432054796234011</v>
      </c>
      <c r="J141" s="22">
        <f>SUM(J11,J22,J31,J47,J75,J89,J110,J137)</f>
        <v>2058165.5173888893</v>
      </c>
      <c r="K141" s="13">
        <f>J141*L139/1024/1024/1024</f>
        <v>0.24535244910584561</v>
      </c>
      <c r="L141" s="13">
        <f>K141/M4*M9*1024</f>
        <v>5.2341855809247066</v>
      </c>
    </row>
    <row r="142" spans="2:17" x14ac:dyDescent="0.25">
      <c r="K142" s="9">
        <f>H141*L139/1024/1024/1024</f>
        <v>1.0937582461105455</v>
      </c>
      <c r="L142" s="9">
        <f>K142/M4*M9*1024</f>
        <v>23.333509250358304</v>
      </c>
    </row>
    <row r="143" spans="2:17" x14ac:dyDescent="0.25">
      <c r="K143" s="10" t="s">
        <v>77</v>
      </c>
      <c r="L143" s="10" t="s">
        <v>163</v>
      </c>
    </row>
    <row r="144" spans="2:17" x14ac:dyDescent="0.25">
      <c r="G144" s="18" t="s">
        <v>160</v>
      </c>
      <c r="H144" s="10">
        <f xml:space="preserve"> H141/M4</f>
        <v>47787.026944733807</v>
      </c>
      <c r="I144" s="20" t="s">
        <v>140</v>
      </c>
      <c r="J144" s="25">
        <v>3</v>
      </c>
      <c r="K144" s="13">
        <f>K141*365*24*60*60/1024/8</f>
        <v>944.51108825707354</v>
      </c>
      <c r="L144" s="13">
        <f>K144/M4*M9</f>
        <v>19.677314338689033</v>
      </c>
    </row>
    <row r="145" spans="5:12" x14ac:dyDescent="0.25">
      <c r="E145" s="2"/>
      <c r="G145" s="2" t="s">
        <v>141</v>
      </c>
      <c r="H145" s="2">
        <f>H144*L139/8/1000</f>
        <v>764.59243111574096</v>
      </c>
      <c r="I145" s="20" t="s">
        <v>170</v>
      </c>
      <c r="J145" s="27">
        <f>H144*L139*60*60*24*7*J144/1024/1024/1024/1024/8*M9</f>
        <v>5.0468825321018826</v>
      </c>
      <c r="K145" s="9">
        <f>K142*365*24*60*60/1024/8</f>
        <v>4210.5419982107132</v>
      </c>
      <c r="L145" s="9">
        <f>K145/M4*M9</f>
        <v>87.719624962723188</v>
      </c>
    </row>
    <row r="146" spans="5:12" ht="30" x14ac:dyDescent="0.25">
      <c r="E146" s="2"/>
      <c r="K146" s="2" t="s">
        <v>161</v>
      </c>
      <c r="L146" s="2" t="s">
        <v>163</v>
      </c>
    </row>
    <row r="147" spans="5:12" x14ac:dyDescent="0.25">
      <c r="E147" s="2"/>
      <c r="K147" s="13">
        <f>K144/J150</f>
        <v>314.83702941902453</v>
      </c>
      <c r="L147" s="13">
        <f>L144/M4*M9</f>
        <v>0.40994404872268819</v>
      </c>
    </row>
    <row r="148" spans="5:12" x14ac:dyDescent="0.25">
      <c r="E148" s="2"/>
      <c r="I148" s="20" t="s">
        <v>171</v>
      </c>
      <c r="J148" s="2">
        <f>M4/M9</f>
        <v>48</v>
      </c>
      <c r="K148" s="9">
        <f>K145/J151</f>
        <v>842.10839964214267</v>
      </c>
      <c r="L148" s="9">
        <f>L145/M4*M9</f>
        <v>1.8274921867233997</v>
      </c>
    </row>
    <row r="149" spans="5:12" x14ac:dyDescent="0.25">
      <c r="E149" s="2"/>
      <c r="I149" s="20" t="s">
        <v>172</v>
      </c>
      <c r="J149" s="2">
        <f>J145*J148</f>
        <v>242.25036154089037</v>
      </c>
      <c r="K149" s="2" t="s">
        <v>162</v>
      </c>
      <c r="L149" s="2" t="s">
        <v>163</v>
      </c>
    </row>
    <row r="150" spans="5:12" x14ac:dyDescent="0.25">
      <c r="E150" s="2"/>
      <c r="I150" s="20" t="s">
        <v>142</v>
      </c>
      <c r="J150" s="15">
        <v>3</v>
      </c>
      <c r="K150" s="13">
        <f>K147*3</f>
        <v>944.51108825707365</v>
      </c>
      <c r="L150" s="13">
        <f>K150/M4*M9</f>
        <v>19.677314338689033</v>
      </c>
    </row>
    <row r="151" spans="5:12" x14ac:dyDescent="0.25">
      <c r="E151" s="2"/>
      <c r="I151" s="20" t="s">
        <v>143</v>
      </c>
      <c r="J151" s="15">
        <v>5</v>
      </c>
      <c r="K151" s="9">
        <f>K148*3</f>
        <v>2526.3251989264281</v>
      </c>
      <c r="L151" s="9">
        <f>K151/M4*M9</f>
        <v>52.631774977633917</v>
      </c>
    </row>
    <row r="152" spans="5:12" x14ac:dyDescent="0.25">
      <c r="E152" s="2"/>
      <c r="I152" s="20" t="s">
        <v>144</v>
      </c>
      <c r="J152" s="2">
        <f>H141*L139*60*60*24*365*J150/1024/1024/1024/1024/J151/8</f>
        <v>2526.3251989264272</v>
      </c>
    </row>
    <row r="155" spans="5:12" ht="30" x14ac:dyDescent="0.25">
      <c r="E155" s="2"/>
      <c r="I155" s="20" t="s">
        <v>145</v>
      </c>
      <c r="J155" s="2" t="s">
        <v>146</v>
      </c>
      <c r="K155" s="2" t="s">
        <v>147</v>
      </c>
      <c r="L155" s="15">
        <v>144</v>
      </c>
    </row>
    <row r="156" spans="5:12" x14ac:dyDescent="0.25">
      <c r="E156" s="2"/>
      <c r="I156" s="20" t="s">
        <v>148</v>
      </c>
      <c r="K156" s="2" t="s">
        <v>157</v>
      </c>
      <c r="L156" s="2">
        <f>H141*L139*60*60*24*356/1024/1024/1024/1024/J151/8</f>
        <v>821.3440829386376</v>
      </c>
    </row>
    <row r="157" spans="5:12" x14ac:dyDescent="0.25">
      <c r="E157" s="2"/>
      <c r="I157" s="20" t="s">
        <v>149</v>
      </c>
      <c r="J157" s="2" t="s">
        <v>150</v>
      </c>
      <c r="K157" s="2" t="s">
        <v>151</v>
      </c>
      <c r="L157" s="2">
        <f>L155/L156*12</f>
        <v>2.1038685684780156</v>
      </c>
    </row>
    <row r="158" spans="5:12" x14ac:dyDescent="0.25">
      <c r="E158" s="2"/>
      <c r="J158" s="2" t="s">
        <v>152</v>
      </c>
    </row>
    <row r="159" spans="5:12" x14ac:dyDescent="0.25">
      <c r="E159" s="2"/>
      <c r="J159" s="2" t="s">
        <v>153</v>
      </c>
      <c r="K159" s="2" t="s">
        <v>154</v>
      </c>
      <c r="L159" s="15">
        <v>1100</v>
      </c>
    </row>
    <row r="160" spans="5:12" ht="30" x14ac:dyDescent="0.25">
      <c r="E160" s="2"/>
      <c r="J160" s="2" t="s">
        <v>155</v>
      </c>
      <c r="K160" s="2" t="s">
        <v>156</v>
      </c>
      <c r="L160" s="2">
        <f>L159/L156</f>
        <v>1.3392681859524405</v>
      </c>
    </row>
  </sheetData>
  <mergeCells count="1">
    <mergeCell ref="A1:J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28" sqref="S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7" sqref="B7"/>
    </sheetView>
  </sheetViews>
  <sheetFormatPr defaultRowHeight="15" x14ac:dyDescent="0.25"/>
  <cols>
    <col min="1" max="1" width="11.7109375" bestFit="1" customWidth="1"/>
  </cols>
  <sheetData>
    <row r="2" spans="1:2" x14ac:dyDescent="0.25">
      <c r="A2" t="s">
        <v>7</v>
      </c>
      <c r="B2" s="1">
        <f>Sheet1!$H$11</f>
        <v>18.201388888888889</v>
      </c>
    </row>
    <row r="3" spans="1:2" x14ac:dyDescent="0.25">
      <c r="A3" t="s">
        <v>16</v>
      </c>
      <c r="B3" s="1">
        <f>Sheet1!$H$22</f>
        <v>960</v>
      </c>
    </row>
    <row r="4" spans="1:2" x14ac:dyDescent="0.25">
      <c r="A4" t="s">
        <v>24</v>
      </c>
      <c r="B4" s="1">
        <f>Sheet1!$H$31</f>
        <v>2112</v>
      </c>
    </row>
    <row r="5" spans="1:2" x14ac:dyDescent="0.25">
      <c r="A5" t="s">
        <v>29</v>
      </c>
      <c r="B5" s="1">
        <f>Sheet1!$H$47</f>
        <v>47692.800000000003</v>
      </c>
    </row>
    <row r="6" spans="1:2" x14ac:dyDescent="0.25">
      <c r="A6" t="s">
        <v>42</v>
      </c>
      <c r="B6" s="1">
        <f>Sheet1!$H$75</f>
        <v>2286811.5455999998</v>
      </c>
    </row>
    <row r="7" spans="1:2" x14ac:dyDescent="0.25">
      <c r="A7" t="s">
        <v>159</v>
      </c>
      <c r="B7" s="1">
        <f>Sheet1!$H$89</f>
        <v>6830592</v>
      </c>
    </row>
    <row r="8" spans="1:2" x14ac:dyDescent="0.25">
      <c r="A8" t="s">
        <v>65</v>
      </c>
      <c r="B8" s="1">
        <f>Sheet1!$H$110</f>
        <v>5861.8</v>
      </c>
    </row>
    <row r="9" spans="1:2" x14ac:dyDescent="0.25">
      <c r="A9" t="s">
        <v>71</v>
      </c>
      <c r="B9" s="1">
        <f>Sheet1!$H$137</f>
        <v>1060.8263999999999</v>
      </c>
    </row>
    <row r="11" spans="1:2" x14ac:dyDescent="0.25">
      <c r="B11" s="1">
        <f>SUM(B2:B9)</f>
        <v>9175109.1733888909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workbookViewId="0">
      <selection activeCell="E14" sqref="E14"/>
    </sheetView>
  </sheetViews>
  <sheetFormatPr defaultRowHeight="15" x14ac:dyDescent="0.25"/>
  <cols>
    <col min="2" max="2" width="5" customWidth="1"/>
    <col min="3" max="3" width="17.42578125" customWidth="1"/>
    <col min="4" max="4" width="20.42578125" customWidth="1"/>
    <col min="5" max="5" width="52.5703125" customWidth="1"/>
    <col min="6" max="6" width="12.85546875" customWidth="1"/>
    <col min="8" max="8" width="14.28515625" customWidth="1"/>
    <col min="9" max="9" width="18.42578125" customWidth="1"/>
    <col min="10" max="10" width="17.28515625" customWidth="1"/>
    <col min="15" max="15" width="29.140625" customWidth="1"/>
  </cols>
  <sheetData>
    <row r="3" spans="2:15" x14ac:dyDescent="0.25">
      <c r="C3" t="s">
        <v>78</v>
      </c>
      <c r="D3" t="s">
        <v>79</v>
      </c>
    </row>
    <row r="4" spans="2:15" x14ac:dyDescent="0.25">
      <c r="D4" t="s">
        <v>80</v>
      </c>
    </row>
    <row r="5" spans="2:15" x14ac:dyDescent="0.25">
      <c r="D5" t="s">
        <v>81</v>
      </c>
    </row>
    <row r="7" spans="2:15" x14ac:dyDescent="0.25">
      <c r="B7" s="30" t="s">
        <v>82</v>
      </c>
      <c r="C7" s="30"/>
      <c r="D7" s="30"/>
      <c r="E7" s="30"/>
      <c r="F7" s="30"/>
      <c r="G7" s="30"/>
      <c r="H7" s="30"/>
      <c r="I7" s="30" t="s">
        <v>83</v>
      </c>
      <c r="J7" s="30"/>
      <c r="K7" s="30" t="s">
        <v>84</v>
      </c>
      <c r="L7" s="30"/>
      <c r="M7" s="30"/>
      <c r="N7" s="30"/>
      <c r="O7" s="30"/>
    </row>
    <row r="8" spans="2:15" s="3" customFormat="1" ht="45" x14ac:dyDescent="0.25">
      <c r="B8" s="6" t="s">
        <v>85</v>
      </c>
      <c r="C8" s="7" t="s">
        <v>86</v>
      </c>
      <c r="D8" s="6" t="s">
        <v>87</v>
      </c>
      <c r="E8" s="6" t="s">
        <v>88</v>
      </c>
      <c r="F8" s="7" t="s">
        <v>89</v>
      </c>
      <c r="G8" s="7" t="s">
        <v>90</v>
      </c>
      <c r="H8" s="7" t="s">
        <v>91</v>
      </c>
      <c r="I8" s="6" t="s">
        <v>92</v>
      </c>
      <c r="J8" s="6" t="s">
        <v>93</v>
      </c>
      <c r="K8" s="7" t="s">
        <v>94</v>
      </c>
      <c r="L8" s="7" t="s">
        <v>95</v>
      </c>
      <c r="M8" s="7" t="s">
        <v>96</v>
      </c>
      <c r="N8" s="7" t="s">
        <v>97</v>
      </c>
      <c r="O8" s="6" t="s">
        <v>98</v>
      </c>
    </row>
    <row r="9" spans="2:15" x14ac:dyDescent="0.25">
      <c r="B9" s="4">
        <v>1</v>
      </c>
      <c r="C9" s="4" t="s">
        <v>99</v>
      </c>
      <c r="D9" s="4" t="s">
        <v>100</v>
      </c>
      <c r="E9" s="4" t="s">
        <v>101</v>
      </c>
      <c r="F9" s="4">
        <v>5.6</v>
      </c>
      <c r="G9" s="4">
        <v>0.1</v>
      </c>
      <c r="H9" s="4">
        <v>1</v>
      </c>
      <c r="I9" s="5">
        <v>0.1</v>
      </c>
      <c r="J9" s="5">
        <v>1</v>
      </c>
      <c r="K9" s="4">
        <v>3</v>
      </c>
      <c r="L9" s="4">
        <v>24</v>
      </c>
      <c r="M9" s="4" t="s">
        <v>102</v>
      </c>
      <c r="N9" s="4">
        <v>0</v>
      </c>
      <c r="O9" s="4"/>
    </row>
    <row r="10" spans="2:15" x14ac:dyDescent="0.25">
      <c r="B10" s="4">
        <v>2</v>
      </c>
      <c r="C10" s="4" t="s">
        <v>14</v>
      </c>
      <c r="D10" s="4" t="s">
        <v>100</v>
      </c>
      <c r="E10" s="4" t="s">
        <v>103</v>
      </c>
      <c r="F10" s="4">
        <v>0.6</v>
      </c>
      <c r="G10" s="4">
        <v>1</v>
      </c>
      <c r="H10" s="4">
        <v>32</v>
      </c>
      <c r="I10" s="5">
        <v>32</v>
      </c>
      <c r="J10" s="5">
        <v>19</v>
      </c>
      <c r="K10" s="4">
        <v>3</v>
      </c>
      <c r="L10" s="4">
        <v>24</v>
      </c>
      <c r="M10" s="4" t="s">
        <v>104</v>
      </c>
      <c r="N10" s="4">
        <v>5.0000000000000001E-3</v>
      </c>
      <c r="O10" s="4"/>
    </row>
    <row r="11" spans="2:15" x14ac:dyDescent="0.25">
      <c r="B11" s="4">
        <v>3</v>
      </c>
      <c r="C11" s="4" t="s">
        <v>24</v>
      </c>
      <c r="D11" s="4" t="s">
        <v>100</v>
      </c>
      <c r="E11" s="4" t="s">
        <v>105</v>
      </c>
      <c r="F11" s="4">
        <v>0.01</v>
      </c>
      <c r="G11" s="4">
        <v>1</v>
      </c>
      <c r="H11" s="4">
        <v>256</v>
      </c>
      <c r="I11" s="5">
        <v>256</v>
      </c>
      <c r="J11" s="5">
        <v>3</v>
      </c>
      <c r="K11" s="4">
        <v>3</v>
      </c>
      <c r="L11" s="4">
        <v>24</v>
      </c>
      <c r="M11" s="4" t="s">
        <v>106</v>
      </c>
      <c r="N11" s="4">
        <v>1E-3</v>
      </c>
      <c r="O11" s="4"/>
    </row>
    <row r="12" spans="2:15" x14ac:dyDescent="0.25">
      <c r="B12" s="4">
        <v>4</v>
      </c>
      <c r="C12" s="4" t="s">
        <v>107</v>
      </c>
      <c r="D12" s="4" t="s">
        <v>108</v>
      </c>
      <c r="E12" s="4" t="s">
        <v>109</v>
      </c>
      <c r="F12" s="4">
        <v>1.6</v>
      </c>
      <c r="G12" s="4">
        <v>1</v>
      </c>
      <c r="H12" s="4">
        <v>1024</v>
      </c>
      <c r="I12" s="5" t="s">
        <v>110</v>
      </c>
      <c r="J12" s="5" t="s">
        <v>111</v>
      </c>
      <c r="K12" s="4">
        <v>3</v>
      </c>
      <c r="L12" s="4">
        <v>24</v>
      </c>
      <c r="M12" s="4" t="s">
        <v>112</v>
      </c>
      <c r="N12" s="4">
        <v>0.39600000000000002</v>
      </c>
      <c r="O12" s="4"/>
    </row>
    <row r="13" spans="2:15" x14ac:dyDescent="0.25">
      <c r="B13" s="4">
        <v>5</v>
      </c>
      <c r="C13" s="4" t="s">
        <v>113</v>
      </c>
      <c r="D13" s="4" t="s">
        <v>108</v>
      </c>
      <c r="E13" s="4" t="s">
        <v>109</v>
      </c>
      <c r="F13" s="4">
        <v>0.4</v>
      </c>
      <c r="G13" s="4">
        <v>1</v>
      </c>
      <c r="H13" s="4">
        <v>1024</v>
      </c>
      <c r="I13" s="5" t="s">
        <v>110</v>
      </c>
      <c r="J13" s="5">
        <v>410</v>
      </c>
      <c r="K13" s="4">
        <v>3</v>
      </c>
      <c r="L13" s="4">
        <v>24</v>
      </c>
      <c r="M13" s="4" t="s">
        <v>112</v>
      </c>
      <c r="N13" s="4">
        <v>9.9000000000000005E-2</v>
      </c>
      <c r="O13" s="4"/>
    </row>
    <row r="14" spans="2:15" x14ac:dyDescent="0.25">
      <c r="B14" s="4">
        <v>6</v>
      </c>
      <c r="C14" s="4" t="s">
        <v>114</v>
      </c>
      <c r="D14" s="4" t="s">
        <v>108</v>
      </c>
      <c r="E14" s="4" t="s">
        <v>115</v>
      </c>
      <c r="F14" s="4">
        <v>1.5</v>
      </c>
      <c r="G14" s="4">
        <v>1</v>
      </c>
      <c r="H14" s="4">
        <v>8192</v>
      </c>
      <c r="I14" s="5" t="s">
        <v>116</v>
      </c>
      <c r="J14" s="5" t="s">
        <v>117</v>
      </c>
      <c r="K14" s="4">
        <v>3</v>
      </c>
      <c r="L14" s="4">
        <v>24</v>
      </c>
      <c r="M14" s="4" t="s">
        <v>118</v>
      </c>
      <c r="N14" s="4">
        <v>2.9660000000000002</v>
      </c>
      <c r="O14" s="4" t="s">
        <v>119</v>
      </c>
    </row>
    <row r="15" spans="2:15" x14ac:dyDescent="0.25">
      <c r="B15" s="4">
        <v>7</v>
      </c>
      <c r="C15" s="4" t="s">
        <v>120</v>
      </c>
      <c r="D15" s="4" t="s">
        <v>100</v>
      </c>
      <c r="E15" s="4" t="s">
        <v>121</v>
      </c>
      <c r="F15" s="4">
        <v>3</v>
      </c>
      <c r="G15" s="4">
        <v>1</v>
      </c>
      <c r="H15" s="4">
        <v>8192</v>
      </c>
      <c r="I15" s="5" t="s">
        <v>116</v>
      </c>
      <c r="J15" s="5" t="s">
        <v>122</v>
      </c>
      <c r="K15" s="4">
        <v>3</v>
      </c>
      <c r="L15" s="4">
        <v>24</v>
      </c>
      <c r="M15" s="4" t="s">
        <v>118</v>
      </c>
      <c r="N15" s="4">
        <v>5.9329999999999998</v>
      </c>
      <c r="O15" s="4" t="s">
        <v>119</v>
      </c>
    </row>
    <row r="16" spans="2:15" x14ac:dyDescent="0.25">
      <c r="B16" s="4">
        <v>8</v>
      </c>
      <c r="C16" s="4" t="s">
        <v>123</v>
      </c>
      <c r="D16" s="4" t="s">
        <v>108</v>
      </c>
      <c r="E16" s="4" t="s">
        <v>124</v>
      </c>
      <c r="F16" s="4">
        <v>21</v>
      </c>
      <c r="G16" s="4">
        <v>1</v>
      </c>
      <c r="H16" s="4">
        <v>4096</v>
      </c>
      <c r="I16" s="5" t="s">
        <v>125</v>
      </c>
      <c r="J16" s="5" t="s">
        <v>126</v>
      </c>
      <c r="K16" s="4">
        <v>3</v>
      </c>
      <c r="L16" s="4">
        <v>24</v>
      </c>
      <c r="M16" s="4" t="s">
        <v>127</v>
      </c>
      <c r="N16" s="4">
        <v>20.763999999999999</v>
      </c>
      <c r="O16" s="4" t="s">
        <v>119</v>
      </c>
    </row>
    <row r="18" spans="4:10" ht="30" x14ac:dyDescent="0.25">
      <c r="D18" t="s">
        <v>128</v>
      </c>
      <c r="H18" s="2" t="s">
        <v>129</v>
      </c>
      <c r="I18" s="2" t="s">
        <v>130</v>
      </c>
      <c r="J18" s="2" t="s">
        <v>131</v>
      </c>
    </row>
    <row r="19" spans="4:10" x14ac:dyDescent="0.25">
      <c r="D19" t="s">
        <v>100</v>
      </c>
      <c r="H19" t="s">
        <v>132</v>
      </c>
      <c r="I19" t="s">
        <v>133</v>
      </c>
      <c r="J19">
        <v>24</v>
      </c>
    </row>
    <row r="20" spans="4:10" x14ac:dyDescent="0.25">
      <c r="D20" t="s">
        <v>108</v>
      </c>
      <c r="H20" t="s">
        <v>134</v>
      </c>
      <c r="I20" t="s">
        <v>134</v>
      </c>
      <c r="J20">
        <v>98</v>
      </c>
    </row>
  </sheetData>
  <mergeCells count="3">
    <mergeCell ref="B7:H7"/>
    <mergeCell ref="K7:O7"/>
    <mergeCell ref="I7:J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C8B6D3EFC644394AC37762FF47014" ma:contentTypeVersion="11" ma:contentTypeDescription="Create a new document." ma:contentTypeScope="" ma:versionID="88f560c899e8e4e67eb02b7d552a6cd4">
  <xsd:schema xmlns:xsd="http://www.w3.org/2001/XMLSchema" xmlns:xs="http://www.w3.org/2001/XMLSchema" xmlns:p="http://schemas.microsoft.com/office/2006/metadata/properties" xmlns:ns2="5a53e08a-fd13-4476-b78e-8e087d08c6c3" xmlns:ns3="4b61c439-7951-4760-a541-cd51b10f22e4" targetNamespace="http://schemas.microsoft.com/office/2006/metadata/properties" ma:root="true" ma:fieldsID="5a0cf1b6c9cf34b10884e037ab3468c3" ns2:_="" ns3:_="">
    <xsd:import namespace="5a53e08a-fd13-4476-b78e-8e087d08c6c3"/>
    <xsd:import namespace="4b61c439-7951-4760-a541-cd51b10f22e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3e08a-fd13-4476-b78e-8e087d08c6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1c439-7951-4760-a541-cd51b10f22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a53e08a-fd13-4476-b78e-8e087d08c6c3">
      <UserInfo>
        <DisplayName>Melvin, Theresa</DisplayName>
        <AccountId>199</AccountId>
        <AccountType/>
      </UserInfo>
      <UserInfo>
        <DisplayName>Cogoluegnes, Aurelien</DisplayName>
        <AccountId>219</AccountId>
        <AccountType/>
      </UserInfo>
      <UserInfo>
        <DisplayName>Gilbertson, Lori (HPC SW Engineering Team Leader)</DisplayName>
        <AccountId>196</AccountId>
        <AccountType/>
      </UserInfo>
      <UserInfo>
        <DisplayName>Donlin, Pat</DisplayName>
        <AccountId>190</AccountId>
        <AccountType/>
      </UserInfo>
      <UserInfo>
        <DisplayName>Kurian, Prasanth</DisplayName>
        <AccountId>229</AccountId>
        <AccountType/>
      </UserInfo>
      <UserInfo>
        <DisplayName>Dutch, John</DisplayName>
        <AccountId>230</AccountId>
        <AccountType/>
      </UserInfo>
      <UserInfo>
        <DisplayName>Strecker, Scott</DisplayName>
        <AccountId>231</AccountId>
        <AccountType/>
      </UserInfo>
      <UserInfo>
        <DisplayName>Holldorf, Byron</DisplayName>
        <AccountId>232</AccountId>
        <AccountType/>
      </UserInfo>
      <UserInfo>
        <DisplayName>Snow, Kevin</DisplayName>
        <AccountId>233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EB9AA47-77DD-4BC0-98F0-EFDC1234E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3e08a-fd13-4476-b78e-8e087d08c6c3"/>
    <ds:schemaRef ds:uri="4b61c439-7951-4760-a541-cd51b10f2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3A23CA-5A9E-4392-A5A9-6929CA37B1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184DEB-4645-450A-8016-7EC4FA203E11}">
  <ds:schemaRefs>
    <ds:schemaRef ds:uri="http://schemas.microsoft.com/office/2006/metadata/properties"/>
    <ds:schemaRef ds:uri="http://schemas.microsoft.com/office/infopath/2007/PartnerControls"/>
    <ds:schemaRef ds:uri="5a53e08a-fd13-4476-b78e-8e087d08c6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Druid picture</vt:lpstr>
      <vt:lpstr>Sheet2</vt:lpstr>
      <vt:lpstr>table-with-topics</vt:lpstr>
    </vt:vector>
  </TitlesOfParts>
  <Manager/>
  <Company>Hewlett Packard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Warner</dc:creator>
  <cp:keywords/>
  <dc:description/>
  <cp:lastModifiedBy>Torsten Wilde</cp:lastModifiedBy>
  <cp:revision/>
  <dcterms:created xsi:type="dcterms:W3CDTF">2018-02-27T14:37:00Z</dcterms:created>
  <dcterms:modified xsi:type="dcterms:W3CDTF">2019-09-09T20:01:57Z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0x010100433C8B6D3EFC644394AC37762FF47014</vt:lpwstr>
  </property>
</Properties>
</file>