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gonzalez\Documents\"/>
    </mc:Choice>
  </mc:AlternateContent>
  <bookViews>
    <workbookView xWindow="0" yWindow="0" windowWidth="24495" windowHeight="9540"/>
  </bookViews>
  <sheets>
    <sheet name="Amo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3" i="1" l="1"/>
  <c r="R692" i="1"/>
  <c r="R691" i="1"/>
  <c r="R690" i="1"/>
  <c r="R689" i="1"/>
  <c r="R688" i="1"/>
  <c r="R687" i="1"/>
  <c r="R686" i="1"/>
  <c r="R685" i="1"/>
  <c r="O685" i="1"/>
  <c r="O686" i="1" s="1"/>
  <c r="O687" i="1" s="1"/>
  <c r="O688" i="1" s="1"/>
  <c r="O689" i="1" s="1"/>
  <c r="O690" i="1" s="1"/>
  <c r="O691" i="1" s="1"/>
  <c r="O692" i="1" s="1"/>
  <c r="O693" i="1" s="1"/>
  <c r="O694" i="1" s="1"/>
  <c r="R684" i="1"/>
  <c r="R682" i="1"/>
  <c r="R681" i="1"/>
  <c r="R680" i="1"/>
  <c r="R679" i="1"/>
  <c r="R678" i="1"/>
  <c r="R677" i="1"/>
  <c r="R676" i="1"/>
  <c r="R675" i="1"/>
  <c r="R674" i="1"/>
  <c r="O674" i="1"/>
  <c r="O675" i="1" s="1"/>
  <c r="O676" i="1" s="1"/>
  <c r="O677" i="1" s="1"/>
  <c r="O678" i="1" s="1"/>
  <c r="O679" i="1" s="1"/>
  <c r="O680" i="1" s="1"/>
  <c r="O681" i="1" s="1"/>
  <c r="O682" i="1" s="1"/>
  <c r="O683" i="1" s="1"/>
  <c r="R673" i="1"/>
  <c r="R671" i="1"/>
  <c r="R670" i="1"/>
  <c r="R669" i="1"/>
  <c r="R668" i="1"/>
  <c r="R667" i="1"/>
  <c r="R666" i="1"/>
  <c r="R665" i="1"/>
  <c r="R664" i="1"/>
  <c r="R663" i="1"/>
  <c r="O663" i="1"/>
  <c r="O664" i="1" s="1"/>
  <c r="O665" i="1" s="1"/>
  <c r="O666" i="1" s="1"/>
  <c r="O667" i="1" s="1"/>
  <c r="O668" i="1" s="1"/>
  <c r="O669" i="1" s="1"/>
  <c r="O670" i="1" s="1"/>
  <c r="O671" i="1" s="1"/>
  <c r="O672" i="1" s="1"/>
  <c r="R662" i="1"/>
  <c r="O652" i="1"/>
  <c r="O653" i="1" s="1"/>
  <c r="O654" i="1" s="1"/>
  <c r="O655" i="1" s="1"/>
  <c r="O656" i="1" s="1"/>
  <c r="O657" i="1" s="1"/>
  <c r="O658" i="1" s="1"/>
  <c r="O659" i="1" s="1"/>
  <c r="O660" i="1" s="1"/>
  <c r="O661" i="1" s="1"/>
  <c r="R649" i="1"/>
  <c r="R648" i="1"/>
  <c r="R647" i="1"/>
  <c r="R646" i="1"/>
  <c r="R645" i="1"/>
  <c r="R644" i="1"/>
  <c r="R643" i="1"/>
  <c r="R642" i="1"/>
  <c r="O642" i="1"/>
  <c r="O643" i="1" s="1"/>
  <c r="O644" i="1" s="1"/>
  <c r="O645" i="1" s="1"/>
  <c r="O646" i="1" s="1"/>
  <c r="O647" i="1" s="1"/>
  <c r="O648" i="1" s="1"/>
  <c r="O649" i="1" s="1"/>
  <c r="O650" i="1" s="1"/>
  <c r="R641" i="1"/>
  <c r="O641" i="1"/>
  <c r="R640" i="1"/>
  <c r="R638" i="1"/>
  <c r="R637" i="1"/>
  <c r="R636" i="1"/>
  <c r="R635" i="1"/>
  <c r="R634" i="1"/>
  <c r="R633" i="1"/>
  <c r="R632" i="1"/>
  <c r="R631" i="1"/>
  <c r="O631" i="1"/>
  <c r="O632" i="1" s="1"/>
  <c r="O633" i="1" s="1"/>
  <c r="O634" i="1" s="1"/>
  <c r="O635" i="1" s="1"/>
  <c r="O636" i="1" s="1"/>
  <c r="O637" i="1" s="1"/>
  <c r="O638" i="1" s="1"/>
  <c r="O639" i="1" s="1"/>
  <c r="R630" i="1"/>
  <c r="O630" i="1"/>
  <c r="R629" i="1"/>
  <c r="R627" i="1"/>
  <c r="R626" i="1"/>
  <c r="R625" i="1"/>
  <c r="R624" i="1"/>
  <c r="R623" i="1"/>
  <c r="R622" i="1"/>
  <c r="R621" i="1"/>
  <c r="R620" i="1"/>
  <c r="O620" i="1"/>
  <c r="O621" i="1" s="1"/>
  <c r="O622" i="1" s="1"/>
  <c r="O623" i="1" s="1"/>
  <c r="O624" i="1" s="1"/>
  <c r="O625" i="1" s="1"/>
  <c r="O626" i="1" s="1"/>
  <c r="O627" i="1" s="1"/>
  <c r="O628" i="1" s="1"/>
  <c r="R619" i="1"/>
  <c r="O619" i="1"/>
  <c r="R618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O569" i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R568" i="1"/>
  <c r="O568" i="1"/>
  <c r="R567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O518" i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R517" i="1"/>
  <c r="O517" i="1"/>
  <c r="R516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O468" i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R467" i="1"/>
  <c r="R466" i="1"/>
  <c r="O466" i="1"/>
  <c r="O467" i="1" s="1"/>
  <c r="R465" i="1"/>
  <c r="O417" i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15" i="1"/>
  <c r="O416" i="1" s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O369" i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R368" i="1"/>
  <c r="R367" i="1"/>
  <c r="O367" i="1"/>
  <c r="O368" i="1" s="1"/>
  <c r="R366" i="1"/>
  <c r="R365" i="1"/>
  <c r="O365" i="1"/>
  <c r="O366" i="1" s="1"/>
  <c r="R364" i="1"/>
  <c r="O364" i="1"/>
  <c r="R363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O318" i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R317" i="1"/>
  <c r="R316" i="1"/>
  <c r="O316" i="1"/>
  <c r="O317" i="1" s="1"/>
  <c r="R315" i="1"/>
  <c r="R314" i="1"/>
  <c r="O314" i="1"/>
  <c r="O315" i="1" s="1"/>
  <c r="R313" i="1"/>
  <c r="O313" i="1"/>
  <c r="R312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O262" i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R261" i="1"/>
  <c r="O229" i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25" i="1"/>
  <c r="O226" i="1" s="1"/>
  <c r="O227" i="1" s="1"/>
  <c r="O228" i="1" s="1"/>
  <c r="O196" i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192" i="1"/>
  <c r="O193" i="1" s="1"/>
  <c r="O194" i="1" s="1"/>
  <c r="O195" i="1" s="1"/>
  <c r="O188" i="1"/>
  <c r="O189" i="1" s="1"/>
  <c r="O190" i="1" s="1"/>
  <c r="O191" i="1" s="1"/>
  <c r="O151" i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14" i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81" i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77" i="1"/>
  <c r="O78" i="1" s="1"/>
  <c r="O79" i="1" s="1"/>
  <c r="O80" i="1" s="1"/>
  <c r="O48" i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44" i="1"/>
  <c r="O45" i="1" s="1"/>
  <c r="O46" i="1" s="1"/>
  <c r="O47" i="1" s="1"/>
  <c r="O40" i="1"/>
  <c r="O41" i="1" s="1"/>
  <c r="O42" i="1" s="1"/>
  <c r="O43" i="1" s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R2" i="1"/>
</calcChain>
</file>

<file path=xl/sharedStrings.xml><?xml version="1.0" encoding="utf-8"?>
<sst xmlns="http://schemas.openxmlformats.org/spreadsheetml/2006/main" count="5128" uniqueCount="38">
  <si>
    <t>FLEET</t>
  </si>
  <si>
    <t>UNIT</t>
  </si>
  <si>
    <t>LOG NO</t>
  </si>
  <si>
    <t>CAP COST</t>
  </si>
  <si>
    <t>BOOK VALUE</t>
  </si>
  <si>
    <t>TERM</t>
  </si>
  <si>
    <t>LPIS</t>
  </si>
  <si>
    <t>ONRD DAT</t>
  </si>
  <si>
    <t>OFRD DAT</t>
  </si>
  <si>
    <t>SCONTR</t>
  </si>
  <si>
    <t>INS PREMIUM</t>
  </si>
  <si>
    <t>RESIDUAL AMT</t>
  </si>
  <si>
    <t>FEE</t>
  </si>
  <si>
    <t>DESC</t>
  </si>
  <si>
    <t>MM/YY</t>
  </si>
  <si>
    <t>START</t>
  </si>
  <si>
    <t>STOP</t>
  </si>
  <si>
    <t>AMT</t>
  </si>
  <si>
    <t>METHOD</t>
  </si>
  <si>
    <t>RATE</t>
  </si>
  <si>
    <t>BL</t>
  </si>
  <si>
    <t>AC</t>
  </si>
  <si>
    <t>Out Insurance</t>
  </si>
  <si>
    <t>Insurance Amort</t>
  </si>
  <si>
    <t>Insurance Interest</t>
  </si>
  <si>
    <t>XX1001</t>
  </si>
  <si>
    <t>Inventory</t>
  </si>
  <si>
    <t>Markup</t>
  </si>
  <si>
    <t>N</t>
  </si>
  <si>
    <t>Y</t>
  </si>
  <si>
    <t>Amortitation</t>
  </si>
  <si>
    <t>Interest</t>
  </si>
  <si>
    <t>Ext Admin</t>
  </si>
  <si>
    <t>Amrt FN SG</t>
  </si>
  <si>
    <t>Interest FN SG</t>
  </si>
  <si>
    <t>Amrt Insurance Cost</t>
  </si>
  <si>
    <t>XX1003</t>
  </si>
  <si>
    <t>XX1005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</si>
</sst>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4" fontId="0" fillId="0" borderId="0" xfId="0" applyNumberFormat="1"/>
    <xf numFmtId="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NumberFormat="1" applyFill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94"/>
  <sheetViews>
    <sheetView tabSelected="1" workbookViewId="0">
      <selection activeCell="W1" sqref="W1:Y1048576"/>
    </sheetView>
  </sheetViews>
  <sheetFormatPr defaultColWidth="9.140625" defaultRowHeight="15" x14ac:dyDescent="0.25"/>
  <cols>
    <col min="1" max="1" width="5.85546875" bestFit="1" customWidth="1"/>
    <col min="2" max="2" width="5.28515625" style="1" bestFit="1" customWidth="1"/>
    <col min="3" max="3" width="7.85546875" style="2" bestFit="1" customWidth="1"/>
    <col min="4" max="4" width="10.140625" style="2" bestFit="1" customWidth="1"/>
    <col min="5" max="5" width="12.28515625" style="2" bestFit="1" customWidth="1"/>
    <col min="6" max="6" width="5.85546875" style="1" bestFit="1" customWidth="1"/>
    <col min="7" max="7" width="4.5703125" style="1" bestFit="1" customWidth="1"/>
    <col min="8" max="8" width="10.28515625" style="2" bestFit="1" customWidth="1"/>
    <col min="9" max="9" width="9.85546875" style="2" bestFit="1" customWidth="1"/>
    <col min="10" max="10" width="9.5703125" style="2" bestFit="1" customWidth="1"/>
    <col min="11" max="11" width="13.140625" style="2" bestFit="1" customWidth="1"/>
    <col min="12" max="12" width="14" style="2" bestFit="1" customWidth="1"/>
    <col min="13" max="13" width="5" style="1" bestFit="1" customWidth="1"/>
    <col min="14" max="14" width="19" bestFit="1" customWidth="1"/>
    <col min="15" max="15" width="9.7109375" style="5" bestFit="1" customWidth="1"/>
    <col min="16" max="16" width="6.42578125" bestFit="1" customWidth="1"/>
    <col min="17" max="17" width="5.5703125" bestFit="1" customWidth="1"/>
    <col min="18" max="18" width="8.140625" style="2" bestFit="1" customWidth="1"/>
    <col min="19" max="19" width="8.7109375" bestFit="1" customWidth="1"/>
    <col min="20" max="20" width="8.140625" style="2" bestFit="1" customWidth="1"/>
    <col min="21" max="21" width="3" bestFit="1" customWidth="1"/>
    <col min="22" max="22" width="3.42578125" bestFit="1" customWidth="1"/>
    <col min="23" max="23" width="13.42578125" hidden="1" customWidth="1"/>
    <col min="24" max="24" width="15.7109375" hidden="1" customWidth="1"/>
    <col min="25" max="25" width="17.28515625" hidden="1" customWidth="1"/>
  </cols>
  <sheetData>
    <row r="1" spans="1:25" x14ac:dyDescent="0.25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t="s">
        <v>13</v>
      </c>
      <c r="O1" s="5" t="s">
        <v>14</v>
      </c>
      <c r="P1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>
        <v>1001</v>
      </c>
      <c r="C2" s="2" t="s">
        <v>25</v>
      </c>
      <c r="D2" s="3">
        <v>21241.53</v>
      </c>
      <c r="E2" s="3">
        <v>20813.459722222222</v>
      </c>
      <c r="F2" s="4">
        <v>36</v>
      </c>
      <c r="G2" s="4">
        <v>1</v>
      </c>
      <c r="H2" s="3" t="s">
        <v>26</v>
      </c>
      <c r="I2" s="3"/>
      <c r="J2" s="3" t="s">
        <v>26</v>
      </c>
      <c r="K2" s="3" t="s">
        <v>26</v>
      </c>
      <c r="L2" s="3" t="s">
        <v>26</v>
      </c>
      <c r="M2" s="4">
        <v>2589</v>
      </c>
      <c r="N2" t="s">
        <v>27</v>
      </c>
      <c r="O2" s="5">
        <v>40725</v>
      </c>
      <c r="P2">
        <v>1</v>
      </c>
      <c r="Q2">
        <v>2</v>
      </c>
      <c r="R2" s="2">
        <f>ROUND(IF(1=1,IF(0&gt;0,1.5/(100+1.5)/0,1.5/(100+1.5)/36),1.5/(100+1.5)/36)*100,4)</f>
        <v>4.1099999999999998E-2</v>
      </c>
      <c r="T2" s="2">
        <v>4.1099999999999998E-2</v>
      </c>
      <c r="U2" t="s">
        <v>28</v>
      </c>
      <c r="V2" t="s">
        <v>29</v>
      </c>
      <c r="W2">
        <v>9722.2222222222226</v>
      </c>
      <c r="X2">
        <v>277.77777777777777</v>
      </c>
      <c r="Y2">
        <v>51.446759259259267</v>
      </c>
    </row>
    <row r="3" spans="1:25" x14ac:dyDescent="0.25">
      <c r="A3">
        <v>1</v>
      </c>
      <c r="B3" s="6">
        <v>1001</v>
      </c>
      <c r="C3" s="7" t="s">
        <v>25</v>
      </c>
      <c r="D3" s="2">
        <v>21241.53</v>
      </c>
      <c r="E3" s="2">
        <v>20385.389444444445</v>
      </c>
      <c r="F3" s="1">
        <v>36</v>
      </c>
      <c r="G3" s="1">
        <v>2</v>
      </c>
      <c r="H3" s="2" t="s">
        <v>26</v>
      </c>
      <c r="J3" s="2" t="s">
        <v>26</v>
      </c>
      <c r="K3" s="2" t="s">
        <v>26</v>
      </c>
      <c r="L3" s="2" t="s">
        <v>26</v>
      </c>
      <c r="M3" s="1">
        <v>2589</v>
      </c>
      <c r="N3" t="s">
        <v>27</v>
      </c>
      <c r="O3" s="5">
        <f>EDATE(O2,1)</f>
        <v>40756</v>
      </c>
      <c r="P3">
        <v>2</v>
      </c>
      <c r="Q3">
        <v>3</v>
      </c>
      <c r="R3" s="2">
        <f>ROUND(IF(1=1,IF(0&gt;0,1.5/(100+1.5)/0,1.5/(100+1.5)/36),1.5/(100+1.5)/36)*100,4)</f>
        <v>4.1099999999999998E-2</v>
      </c>
      <c r="T3" s="2">
        <v>4.1099999999999998E-2</v>
      </c>
      <c r="U3" t="s">
        <v>28</v>
      </c>
      <c r="V3" t="s">
        <v>29</v>
      </c>
      <c r="W3">
        <v>9444.4444444444453</v>
      </c>
      <c r="X3">
        <v>277.77777777777777</v>
      </c>
      <c r="Y3">
        <v>49.976851851851855</v>
      </c>
    </row>
    <row r="4" spans="1:25" x14ac:dyDescent="0.25">
      <c r="A4">
        <v>1</v>
      </c>
      <c r="B4" s="6">
        <v>1001</v>
      </c>
      <c r="C4" s="7" t="s">
        <v>25</v>
      </c>
      <c r="D4" s="2">
        <v>21241.53</v>
      </c>
      <c r="E4" s="2">
        <v>19957.319166666668</v>
      </c>
      <c r="F4" s="1">
        <v>36</v>
      </c>
      <c r="G4" s="1">
        <v>3</v>
      </c>
      <c r="H4" s="2" t="s">
        <v>26</v>
      </c>
      <c r="J4" s="2" t="s">
        <v>26</v>
      </c>
      <c r="K4" s="2" t="s">
        <v>26</v>
      </c>
      <c r="L4" s="2" t="s">
        <v>26</v>
      </c>
      <c r="M4" s="1">
        <v>2589</v>
      </c>
      <c r="N4" t="s">
        <v>27</v>
      </c>
      <c r="O4" s="5">
        <f>EDATE(O3,1)</f>
        <v>40787</v>
      </c>
      <c r="P4">
        <v>3</v>
      </c>
      <c r="Q4">
        <v>4</v>
      </c>
      <c r="R4" s="2">
        <f>ROUND(IF(1=1,IF(0&gt;0,1.5/(100+1.5)/0,1.5/(100+1.5)/36),1.5/(100+1.5)/36)*100,4)</f>
        <v>4.1099999999999998E-2</v>
      </c>
      <c r="T4" s="2">
        <v>4.1099999999999998E-2</v>
      </c>
      <c r="U4" t="s">
        <v>28</v>
      </c>
      <c r="V4" t="s">
        <v>29</v>
      </c>
      <c r="W4">
        <v>9166.6666666666679</v>
      </c>
      <c r="X4">
        <v>277.77777777777777</v>
      </c>
      <c r="Y4">
        <v>48.50694444444445</v>
      </c>
    </row>
    <row r="5" spans="1:25" x14ac:dyDescent="0.25">
      <c r="A5">
        <v>1</v>
      </c>
      <c r="B5" s="6">
        <v>1001</v>
      </c>
      <c r="C5" s="7" t="s">
        <v>25</v>
      </c>
      <c r="D5" s="2">
        <v>21241.53</v>
      </c>
      <c r="E5" s="2">
        <v>19529.248888888891</v>
      </c>
      <c r="F5" s="1">
        <v>36</v>
      </c>
      <c r="G5" s="1">
        <v>4</v>
      </c>
      <c r="H5" s="2" t="s">
        <v>26</v>
      </c>
      <c r="J5" s="2" t="s">
        <v>26</v>
      </c>
      <c r="K5" s="2" t="s">
        <v>26</v>
      </c>
      <c r="L5" s="2" t="s">
        <v>26</v>
      </c>
      <c r="M5" s="1">
        <v>2589</v>
      </c>
      <c r="N5" t="s">
        <v>27</v>
      </c>
      <c r="O5" s="5">
        <f>EDATE(O4,1)</f>
        <v>40817</v>
      </c>
      <c r="P5">
        <v>4</v>
      </c>
      <c r="Q5">
        <v>5</v>
      </c>
      <c r="R5" s="2">
        <f>ROUND(IF(1=1,IF(0&gt;0,1.5/(100+1.5)/0,1.5/(100+1.5)/36),1.5/(100+1.5)/36)*100,4)</f>
        <v>4.1099999999999998E-2</v>
      </c>
      <c r="T5" s="2">
        <v>4.1099999999999998E-2</v>
      </c>
      <c r="U5" t="s">
        <v>28</v>
      </c>
      <c r="V5" t="s">
        <v>29</v>
      </c>
      <c r="W5">
        <v>8888.8888888888905</v>
      </c>
      <c r="X5">
        <v>277.77777777777777</v>
      </c>
      <c r="Y5">
        <v>47.037037037037045</v>
      </c>
    </row>
    <row r="6" spans="1:25" x14ac:dyDescent="0.25">
      <c r="A6">
        <v>1</v>
      </c>
      <c r="B6" s="6">
        <v>1001</v>
      </c>
      <c r="C6" s="7" t="s">
        <v>25</v>
      </c>
      <c r="D6" s="2">
        <v>21241.53</v>
      </c>
      <c r="E6" s="2">
        <v>19101.178611111114</v>
      </c>
      <c r="F6" s="1">
        <v>36</v>
      </c>
      <c r="G6" s="1">
        <v>5</v>
      </c>
      <c r="H6" s="2" t="s">
        <v>26</v>
      </c>
      <c r="J6" s="2" t="s">
        <v>26</v>
      </c>
      <c r="K6" s="2" t="s">
        <v>26</v>
      </c>
      <c r="L6" s="2" t="s">
        <v>26</v>
      </c>
      <c r="M6" s="1">
        <v>2589</v>
      </c>
      <c r="N6" t="s">
        <v>27</v>
      </c>
      <c r="O6" s="5">
        <f>EDATE(O5,1)</f>
        <v>40848</v>
      </c>
      <c r="P6">
        <v>5</v>
      </c>
      <c r="Q6">
        <v>6</v>
      </c>
      <c r="R6" s="2">
        <f>ROUND(IF(1=1,IF(0&gt;0,1.5/(100+1.5)/0,1.5/(100+1.5)/36),1.5/(100+1.5)/36)*100,4)</f>
        <v>4.1099999999999998E-2</v>
      </c>
      <c r="T6" s="2">
        <v>4.1099999999999998E-2</v>
      </c>
      <c r="U6" t="s">
        <v>28</v>
      </c>
      <c r="V6" t="s">
        <v>29</v>
      </c>
      <c r="W6">
        <v>8611.1111111111131</v>
      </c>
      <c r="X6">
        <v>277.77777777777777</v>
      </c>
      <c r="Y6">
        <v>45.56712962962964</v>
      </c>
    </row>
    <row r="7" spans="1:25" x14ac:dyDescent="0.25">
      <c r="A7">
        <v>1</v>
      </c>
      <c r="B7" s="6">
        <v>1001</v>
      </c>
      <c r="C7" s="7" t="s">
        <v>25</v>
      </c>
      <c r="D7" s="2">
        <v>21241.53</v>
      </c>
      <c r="E7" s="2">
        <v>18673.108333333337</v>
      </c>
      <c r="F7" s="1">
        <v>36</v>
      </c>
      <c r="G7" s="1">
        <v>6</v>
      </c>
      <c r="H7" s="2" t="s">
        <v>26</v>
      </c>
      <c r="J7" s="2" t="s">
        <v>26</v>
      </c>
      <c r="K7" s="2" t="s">
        <v>26</v>
      </c>
      <c r="L7" s="2" t="s">
        <v>26</v>
      </c>
      <c r="M7" s="1">
        <v>2589</v>
      </c>
      <c r="N7" t="s">
        <v>27</v>
      </c>
      <c r="O7" s="5">
        <f>EDATE(O6,1)</f>
        <v>40878</v>
      </c>
      <c r="P7">
        <v>6</v>
      </c>
      <c r="Q7">
        <v>7</v>
      </c>
      <c r="R7" s="2">
        <f>ROUND(IF(1=1,IF(0&gt;0,1.5/(100+1.5)/0,1.5/(100+1.5)/36),1.5/(100+1.5)/36)*100,4)</f>
        <v>4.1099999999999998E-2</v>
      </c>
      <c r="T7" s="2">
        <v>4.1099999999999998E-2</v>
      </c>
      <c r="U7" t="s">
        <v>28</v>
      </c>
      <c r="V7" t="s">
        <v>29</v>
      </c>
      <c r="W7">
        <v>8333.3333333333358</v>
      </c>
      <c r="X7">
        <v>277.77777777777777</v>
      </c>
      <c r="Y7">
        <v>44.097222222222236</v>
      </c>
    </row>
    <row r="8" spans="1:25" x14ac:dyDescent="0.25">
      <c r="A8">
        <v>1</v>
      </c>
      <c r="B8" s="6">
        <v>1001</v>
      </c>
      <c r="C8" s="7" t="s">
        <v>25</v>
      </c>
      <c r="D8" s="2">
        <v>21241.53</v>
      </c>
      <c r="E8" s="2">
        <v>18245.03805555556</v>
      </c>
      <c r="F8" s="1">
        <v>36</v>
      </c>
      <c r="G8" s="1">
        <v>7</v>
      </c>
      <c r="H8" s="2" t="s">
        <v>26</v>
      </c>
      <c r="J8" s="2" t="s">
        <v>26</v>
      </c>
      <c r="K8" s="2" t="s">
        <v>26</v>
      </c>
      <c r="L8" s="2" t="s">
        <v>26</v>
      </c>
      <c r="M8" s="1">
        <v>2589</v>
      </c>
      <c r="N8" t="s">
        <v>27</v>
      </c>
      <c r="O8" s="5">
        <f>EDATE(O7,1)</f>
        <v>40909</v>
      </c>
      <c r="P8">
        <v>7</v>
      </c>
      <c r="Q8">
        <v>8</v>
      </c>
      <c r="R8" s="2">
        <f>ROUND(IF(1=1,IF(0&gt;0,1.5/(100+1.5)/0,1.5/(100+1.5)/36),1.5/(100+1.5)/36)*100,4)</f>
        <v>4.1099999999999998E-2</v>
      </c>
      <c r="T8" s="2">
        <v>4.1099999999999998E-2</v>
      </c>
      <c r="U8" t="s">
        <v>28</v>
      </c>
      <c r="V8" t="s">
        <v>29</v>
      </c>
      <c r="W8">
        <v>8055.5555555555584</v>
      </c>
      <c r="X8">
        <v>277.77777777777777</v>
      </c>
      <c r="Y8">
        <v>42.627314814814831</v>
      </c>
    </row>
    <row r="9" spans="1:25" x14ac:dyDescent="0.25">
      <c r="A9">
        <v>1</v>
      </c>
      <c r="B9" s="6">
        <v>1001</v>
      </c>
      <c r="C9" s="7" t="s">
        <v>25</v>
      </c>
      <c r="D9" s="2">
        <v>21241.53</v>
      </c>
      <c r="E9" s="2">
        <v>17816.967777777783</v>
      </c>
      <c r="F9" s="1">
        <v>36</v>
      </c>
      <c r="G9" s="1">
        <v>8</v>
      </c>
      <c r="H9" s="2" t="s">
        <v>26</v>
      </c>
      <c r="J9" s="2" t="s">
        <v>26</v>
      </c>
      <c r="K9" s="2" t="s">
        <v>26</v>
      </c>
      <c r="L9" s="2" t="s">
        <v>26</v>
      </c>
      <c r="M9" s="1">
        <v>2589</v>
      </c>
      <c r="N9" t="s">
        <v>27</v>
      </c>
      <c r="O9" s="5">
        <f>EDATE(O8,1)</f>
        <v>40940</v>
      </c>
      <c r="P9">
        <v>8</v>
      </c>
      <c r="Q9">
        <v>9</v>
      </c>
      <c r="R9" s="2">
        <f>ROUND(IF(1=1,IF(0&gt;0,1.5/(100+1.5)/0,1.5/(100+1.5)/36),1.5/(100+1.5)/36)*100,4)</f>
        <v>4.1099999999999998E-2</v>
      </c>
      <c r="T9" s="2">
        <v>4.1099999999999998E-2</v>
      </c>
      <c r="U9" t="s">
        <v>28</v>
      </c>
      <c r="V9" t="s">
        <v>29</v>
      </c>
      <c r="W9">
        <v>7777.777777777781</v>
      </c>
      <c r="X9">
        <v>277.77777777777777</v>
      </c>
      <c r="Y9">
        <v>41.157407407407426</v>
      </c>
    </row>
    <row r="10" spans="1:25" x14ac:dyDescent="0.25">
      <c r="A10">
        <v>1</v>
      </c>
      <c r="B10" s="1">
        <v>1001</v>
      </c>
      <c r="C10" s="2" t="s">
        <v>25</v>
      </c>
      <c r="D10" s="2">
        <v>21241.53</v>
      </c>
      <c r="E10" s="2">
        <v>17388.897500000006</v>
      </c>
      <c r="F10" s="1">
        <v>36</v>
      </c>
      <c r="G10" s="1">
        <v>9</v>
      </c>
      <c r="H10" s="2" t="s">
        <v>26</v>
      </c>
      <c r="J10" s="2" t="s">
        <v>26</v>
      </c>
      <c r="K10" s="2" t="s">
        <v>26</v>
      </c>
      <c r="L10" s="2" t="s">
        <v>26</v>
      </c>
      <c r="M10" s="1">
        <v>2589</v>
      </c>
      <c r="N10" t="s">
        <v>27</v>
      </c>
      <c r="O10" s="5">
        <f>EDATE(O9,1)</f>
        <v>40969</v>
      </c>
      <c r="P10">
        <v>9</v>
      </c>
      <c r="Q10">
        <v>10</v>
      </c>
      <c r="R10" s="2">
        <f>ROUND(IF(1=1,IF(0&gt;0,1.5/(100+1.5)/0,1.5/(100+1.5)/36),1.5/(100+1.5)/36)*100,4)</f>
        <v>4.1099999999999998E-2</v>
      </c>
      <c r="T10" s="2">
        <v>4.1099999999999998E-2</v>
      </c>
      <c r="U10" t="s">
        <v>28</v>
      </c>
      <c r="V10" t="s">
        <v>29</v>
      </c>
      <c r="W10">
        <v>7500.0000000000036</v>
      </c>
      <c r="X10">
        <v>277.77777777777777</v>
      </c>
      <c r="Y10">
        <v>39.687500000000021</v>
      </c>
    </row>
    <row r="11" spans="1:25" x14ac:dyDescent="0.25">
      <c r="A11">
        <v>1</v>
      </c>
      <c r="B11" s="1">
        <v>1001</v>
      </c>
      <c r="C11" s="2" t="s">
        <v>25</v>
      </c>
      <c r="D11" s="2">
        <v>21241.53</v>
      </c>
      <c r="E11" s="2">
        <v>16960.827222222229</v>
      </c>
      <c r="F11" s="1">
        <v>36</v>
      </c>
      <c r="G11" s="1">
        <v>10</v>
      </c>
      <c r="H11" s="2" t="s">
        <v>26</v>
      </c>
      <c r="J11" s="2" t="s">
        <v>26</v>
      </c>
      <c r="K11" s="2" t="s">
        <v>26</v>
      </c>
      <c r="L11" s="2" t="s">
        <v>26</v>
      </c>
      <c r="M11" s="1">
        <v>2589</v>
      </c>
      <c r="N11" t="s">
        <v>27</v>
      </c>
      <c r="O11" s="5">
        <f>EDATE(O10,1)</f>
        <v>41000</v>
      </c>
      <c r="P11">
        <v>10</v>
      </c>
      <c r="Q11">
        <v>11</v>
      </c>
      <c r="R11" s="2">
        <f>ROUND(IF(1=1,IF(0&gt;0,1.5/(100+1.5)/0,1.5/(100+1.5)/36),1.5/(100+1.5)/36)*100,4)</f>
        <v>4.1099999999999998E-2</v>
      </c>
      <c r="T11" s="2">
        <v>4.1099999999999998E-2</v>
      </c>
      <c r="U11" t="s">
        <v>28</v>
      </c>
      <c r="V11" t="s">
        <v>29</v>
      </c>
      <c r="W11">
        <v>7222.2222222222263</v>
      </c>
      <c r="X11">
        <v>277.77777777777777</v>
      </c>
      <c r="Y11">
        <v>38.217592592592617</v>
      </c>
    </row>
    <row r="12" spans="1:25" x14ac:dyDescent="0.25">
      <c r="A12">
        <v>1</v>
      </c>
      <c r="B12" s="1">
        <v>1001</v>
      </c>
      <c r="C12" s="2" t="s">
        <v>25</v>
      </c>
      <c r="D12" s="2">
        <v>21241.53</v>
      </c>
      <c r="E12" s="2">
        <v>16532.756944444453</v>
      </c>
      <c r="F12" s="1">
        <v>36</v>
      </c>
      <c r="G12" s="1">
        <v>11</v>
      </c>
      <c r="H12" s="2" t="s">
        <v>26</v>
      </c>
      <c r="J12" s="2" t="s">
        <v>26</v>
      </c>
      <c r="K12" s="2" t="s">
        <v>26</v>
      </c>
      <c r="L12" s="2" t="s">
        <v>26</v>
      </c>
      <c r="M12" s="1">
        <v>2589</v>
      </c>
      <c r="N12" t="s">
        <v>27</v>
      </c>
      <c r="O12" s="5">
        <f>EDATE(O11,1)</f>
        <v>41030</v>
      </c>
      <c r="P12">
        <v>11</v>
      </c>
      <c r="Q12">
        <v>12</v>
      </c>
      <c r="R12" s="2">
        <f>ROUND(IF(1=1,IF(0&gt;0,1.5/(100+1.5)/0,1.5/(100+1.5)/36),1.5/(100+1.5)/36)*100,4)</f>
        <v>4.1099999999999998E-2</v>
      </c>
      <c r="T12" s="2">
        <v>4.1099999999999998E-2</v>
      </c>
      <c r="U12" t="s">
        <v>28</v>
      </c>
      <c r="V12" t="s">
        <v>29</v>
      </c>
      <c r="W12">
        <v>6944.4444444444489</v>
      </c>
      <c r="X12">
        <v>277.77777777777777</v>
      </c>
      <c r="Y12">
        <v>36.747685185185212</v>
      </c>
    </row>
    <row r="13" spans="1:25" x14ac:dyDescent="0.25">
      <c r="A13">
        <v>1</v>
      </c>
      <c r="B13" s="1">
        <v>1001</v>
      </c>
      <c r="C13" s="2" t="s">
        <v>25</v>
      </c>
      <c r="D13" s="2">
        <v>21241.53</v>
      </c>
      <c r="E13" s="2">
        <v>16104.686666666676</v>
      </c>
      <c r="F13" s="1">
        <v>36</v>
      </c>
      <c r="G13" s="1">
        <v>12</v>
      </c>
      <c r="H13" s="2" t="s">
        <v>26</v>
      </c>
      <c r="J13" s="2" t="s">
        <v>26</v>
      </c>
      <c r="K13" s="2" t="s">
        <v>26</v>
      </c>
      <c r="L13" s="2" t="s">
        <v>26</v>
      </c>
      <c r="M13" s="1">
        <v>2589</v>
      </c>
      <c r="N13" t="s">
        <v>27</v>
      </c>
      <c r="O13" s="5">
        <f>EDATE(O12,1)</f>
        <v>41061</v>
      </c>
      <c r="P13">
        <v>12</v>
      </c>
      <c r="Q13">
        <v>13</v>
      </c>
      <c r="R13" s="2">
        <f>ROUND(IF(1=1,IF(0&gt;0,1.5/(100+1.5)/0,1.5/(100+1.5)/36),1.5/(100+1.5)/36)*100,4)</f>
        <v>4.1099999999999998E-2</v>
      </c>
      <c r="T13" s="2">
        <v>4.1099999999999998E-2</v>
      </c>
      <c r="U13" t="s">
        <v>28</v>
      </c>
      <c r="V13" t="s">
        <v>29</v>
      </c>
      <c r="W13">
        <v>6666.6666666666715</v>
      </c>
      <c r="X13">
        <v>277.77777777777777</v>
      </c>
      <c r="Y13">
        <v>35.277777777777807</v>
      </c>
    </row>
    <row r="14" spans="1:25" x14ac:dyDescent="0.25">
      <c r="A14">
        <v>1</v>
      </c>
      <c r="B14" s="1">
        <v>1001</v>
      </c>
      <c r="C14" s="2" t="s">
        <v>25</v>
      </c>
      <c r="D14" s="2">
        <v>21241.53</v>
      </c>
      <c r="E14" s="2">
        <v>15676.616388888899</v>
      </c>
      <c r="F14" s="1">
        <v>36</v>
      </c>
      <c r="G14" s="1">
        <v>13</v>
      </c>
      <c r="H14" s="2" t="s">
        <v>26</v>
      </c>
      <c r="J14" s="2" t="s">
        <v>26</v>
      </c>
      <c r="K14" s="2" t="s">
        <v>26</v>
      </c>
      <c r="L14" s="2" t="s">
        <v>26</v>
      </c>
      <c r="M14" s="1">
        <v>2589</v>
      </c>
      <c r="N14" t="s">
        <v>27</v>
      </c>
      <c r="O14" s="5">
        <f>EDATE(O13,1)</f>
        <v>41091</v>
      </c>
      <c r="P14">
        <v>13</v>
      </c>
      <c r="Q14">
        <v>14</v>
      </c>
      <c r="R14" s="2">
        <f>ROUND(IF(1=1,IF(0&gt;0,1.5/(100+1.5)/0,1.5/(100+1.5)/36),1.5/(100+1.5)/36)*100,4)</f>
        <v>4.1099999999999998E-2</v>
      </c>
      <c r="T14" s="2">
        <v>4.1099999999999998E-2</v>
      </c>
      <c r="U14" t="s">
        <v>28</v>
      </c>
      <c r="V14" t="s">
        <v>29</v>
      </c>
      <c r="W14">
        <v>6388.8888888888941</v>
      </c>
      <c r="X14">
        <v>277.77777777777777</v>
      </c>
      <c r="Y14">
        <v>33.807870370370402</v>
      </c>
    </row>
    <row r="15" spans="1:25" x14ac:dyDescent="0.25">
      <c r="A15">
        <v>1</v>
      </c>
      <c r="B15" s="1">
        <v>1001</v>
      </c>
      <c r="C15" s="2" t="s">
        <v>25</v>
      </c>
      <c r="D15" s="2">
        <v>21241.53</v>
      </c>
      <c r="E15" s="2">
        <v>15248.546111111122</v>
      </c>
      <c r="F15" s="1">
        <v>36</v>
      </c>
      <c r="G15" s="1">
        <v>14</v>
      </c>
      <c r="H15" s="2" t="s">
        <v>26</v>
      </c>
      <c r="J15" s="2" t="s">
        <v>26</v>
      </c>
      <c r="K15" s="2" t="s">
        <v>26</v>
      </c>
      <c r="L15" s="2" t="s">
        <v>26</v>
      </c>
      <c r="M15" s="1">
        <v>2589</v>
      </c>
      <c r="N15" t="s">
        <v>27</v>
      </c>
      <c r="O15" s="5">
        <f>EDATE(O14,1)</f>
        <v>41122</v>
      </c>
      <c r="P15">
        <v>14</v>
      </c>
      <c r="Q15">
        <v>15</v>
      </c>
      <c r="R15" s="2">
        <f>ROUND(IF(1=1,IF(0&gt;0,1.5/(100+1.5)/0,1.5/(100+1.5)/36),1.5/(100+1.5)/36)*100,4)</f>
        <v>4.1099999999999998E-2</v>
      </c>
      <c r="T15" s="2">
        <v>4.1099999999999998E-2</v>
      </c>
      <c r="U15" t="s">
        <v>28</v>
      </c>
      <c r="V15" t="s">
        <v>29</v>
      </c>
      <c r="W15">
        <v>6111.1111111111168</v>
      </c>
      <c r="X15">
        <v>277.77777777777777</v>
      </c>
      <c r="Y15">
        <v>32.337962962962997</v>
      </c>
    </row>
    <row r="16" spans="1:25" x14ac:dyDescent="0.25">
      <c r="A16">
        <v>1</v>
      </c>
      <c r="B16" s="1">
        <v>1001</v>
      </c>
      <c r="C16" s="2" t="s">
        <v>25</v>
      </c>
      <c r="D16" s="2">
        <v>21241.53</v>
      </c>
      <c r="E16" s="2">
        <v>14820.475833333345</v>
      </c>
      <c r="F16" s="1">
        <v>36</v>
      </c>
      <c r="G16" s="1">
        <v>15</v>
      </c>
      <c r="H16" s="2" t="s">
        <v>26</v>
      </c>
      <c r="J16" s="2" t="s">
        <v>26</v>
      </c>
      <c r="K16" s="2" t="s">
        <v>26</v>
      </c>
      <c r="L16" s="2" t="s">
        <v>26</v>
      </c>
      <c r="M16" s="1">
        <v>2589</v>
      </c>
      <c r="N16" t="s">
        <v>27</v>
      </c>
      <c r="O16" s="5">
        <f>EDATE(O15,1)</f>
        <v>41153</v>
      </c>
      <c r="P16">
        <v>15</v>
      </c>
      <c r="Q16">
        <v>16</v>
      </c>
      <c r="R16" s="2">
        <f>ROUND(IF(1=1,IF(0&gt;0,1.5/(100+1.5)/0,1.5/(100+1.5)/36),1.5/(100+1.5)/36)*100,4)</f>
        <v>4.1099999999999998E-2</v>
      </c>
      <c r="T16" s="2">
        <v>4.1099999999999998E-2</v>
      </c>
      <c r="U16" t="s">
        <v>28</v>
      </c>
      <c r="V16" t="s">
        <v>29</v>
      </c>
      <c r="W16">
        <v>5833.3333333333394</v>
      </c>
      <c r="X16">
        <v>277.77777777777777</v>
      </c>
      <c r="Y16">
        <v>30.868055555555589</v>
      </c>
    </row>
    <row r="17" spans="1:25" x14ac:dyDescent="0.25">
      <c r="A17">
        <v>1</v>
      </c>
      <c r="B17" s="1">
        <v>1001</v>
      </c>
      <c r="C17" s="2" t="s">
        <v>25</v>
      </c>
      <c r="D17" s="2">
        <v>21241.53</v>
      </c>
      <c r="E17" s="2">
        <v>14392.405555555568</v>
      </c>
      <c r="F17" s="1">
        <v>36</v>
      </c>
      <c r="G17" s="1">
        <v>16</v>
      </c>
      <c r="H17" s="2" t="s">
        <v>26</v>
      </c>
      <c r="J17" s="2" t="s">
        <v>26</v>
      </c>
      <c r="K17" s="2" t="s">
        <v>26</v>
      </c>
      <c r="L17" s="2" t="s">
        <v>26</v>
      </c>
      <c r="M17" s="1">
        <v>2589</v>
      </c>
      <c r="N17" t="s">
        <v>27</v>
      </c>
      <c r="O17" s="5">
        <f>EDATE(O16,1)</f>
        <v>41183</v>
      </c>
      <c r="P17">
        <v>16</v>
      </c>
      <c r="Q17">
        <v>17</v>
      </c>
      <c r="R17" s="2">
        <f>ROUND(IF(1=1,IF(0&gt;0,1.5/(100+1.5)/0,1.5/(100+1.5)/36),1.5/(100+1.5)/36)*100,4)</f>
        <v>4.1099999999999998E-2</v>
      </c>
      <c r="T17" s="2">
        <v>4.1099999999999998E-2</v>
      </c>
      <c r="U17" t="s">
        <v>28</v>
      </c>
      <c r="V17" t="s">
        <v>29</v>
      </c>
      <c r="W17">
        <v>5555.555555555562</v>
      </c>
      <c r="X17">
        <v>277.77777777777777</v>
      </c>
      <c r="Y17">
        <v>29.398148148148181</v>
      </c>
    </row>
    <row r="18" spans="1:25" x14ac:dyDescent="0.25">
      <c r="A18">
        <v>1</v>
      </c>
      <c r="B18" s="1">
        <v>1001</v>
      </c>
      <c r="C18" s="2" t="s">
        <v>25</v>
      </c>
      <c r="D18" s="2">
        <v>21241.53</v>
      </c>
      <c r="E18" s="2">
        <v>13964.335277777791</v>
      </c>
      <c r="F18" s="1">
        <v>36</v>
      </c>
      <c r="G18" s="1">
        <v>17</v>
      </c>
      <c r="H18" s="2" t="s">
        <v>26</v>
      </c>
      <c r="J18" s="2" t="s">
        <v>26</v>
      </c>
      <c r="K18" s="2" t="s">
        <v>26</v>
      </c>
      <c r="L18" s="2" t="s">
        <v>26</v>
      </c>
      <c r="M18" s="1">
        <v>2589</v>
      </c>
      <c r="N18" t="s">
        <v>27</v>
      </c>
      <c r="O18" s="5">
        <f>EDATE(O17,1)</f>
        <v>41214</v>
      </c>
      <c r="P18">
        <v>17</v>
      </c>
      <c r="Q18">
        <v>18</v>
      </c>
      <c r="R18" s="2">
        <f>ROUND(IF(1=1,IF(0&gt;0,1.5/(100+1.5)/0,1.5/(100+1.5)/36),1.5/(100+1.5)/36)*100,4)</f>
        <v>4.1099999999999998E-2</v>
      </c>
      <c r="T18" s="2">
        <v>4.1099999999999998E-2</v>
      </c>
      <c r="U18" t="s">
        <v>28</v>
      </c>
      <c r="V18" t="s">
        <v>29</v>
      </c>
      <c r="W18">
        <v>5277.7777777777846</v>
      </c>
      <c r="X18">
        <v>277.77777777777777</v>
      </c>
      <c r="Y18">
        <v>27.928240740740776</v>
      </c>
    </row>
    <row r="19" spans="1:25" x14ac:dyDescent="0.25">
      <c r="A19">
        <v>1</v>
      </c>
      <c r="B19" s="1">
        <v>1001</v>
      </c>
      <c r="C19" s="2" t="s">
        <v>25</v>
      </c>
      <c r="D19" s="2">
        <v>21241.53</v>
      </c>
      <c r="E19" s="2">
        <v>13536.265000000014</v>
      </c>
      <c r="F19" s="1">
        <v>36</v>
      </c>
      <c r="G19" s="1">
        <v>18</v>
      </c>
      <c r="H19" s="2" t="s">
        <v>26</v>
      </c>
      <c r="J19" s="2" t="s">
        <v>26</v>
      </c>
      <c r="K19" s="2" t="s">
        <v>26</v>
      </c>
      <c r="L19" s="2" t="s">
        <v>26</v>
      </c>
      <c r="M19" s="1">
        <v>2589</v>
      </c>
      <c r="N19" t="s">
        <v>27</v>
      </c>
      <c r="O19" s="5">
        <f>EDATE(O18,1)</f>
        <v>41244</v>
      </c>
      <c r="P19">
        <v>18</v>
      </c>
      <c r="Q19">
        <v>19</v>
      </c>
      <c r="R19" s="2">
        <f>ROUND(IF(1=1,IF(0&gt;0,1.5/(100+1.5)/0,1.5/(100+1.5)/36),1.5/(100+1.5)/36)*100,4)</f>
        <v>4.1099999999999998E-2</v>
      </c>
      <c r="T19" s="2">
        <v>4.1099999999999998E-2</v>
      </c>
      <c r="U19" t="s">
        <v>28</v>
      </c>
      <c r="V19" t="s">
        <v>29</v>
      </c>
      <c r="W19">
        <v>5000.0000000000073</v>
      </c>
      <c r="X19">
        <v>277.77777777777777</v>
      </c>
      <c r="Y19">
        <v>26.458333333333371</v>
      </c>
    </row>
    <row r="20" spans="1:25" x14ac:dyDescent="0.25">
      <c r="A20">
        <v>1</v>
      </c>
      <c r="B20" s="1">
        <v>1001</v>
      </c>
      <c r="C20" s="2" t="s">
        <v>25</v>
      </c>
      <c r="D20" s="2">
        <v>21241.53</v>
      </c>
      <c r="E20" s="2">
        <v>13108.194722222237</v>
      </c>
      <c r="F20" s="1">
        <v>36</v>
      </c>
      <c r="G20" s="1">
        <v>19</v>
      </c>
      <c r="H20" s="2" t="s">
        <v>26</v>
      </c>
      <c r="J20" s="2" t="s">
        <v>26</v>
      </c>
      <c r="K20" s="2" t="s">
        <v>26</v>
      </c>
      <c r="L20" s="2" t="s">
        <v>26</v>
      </c>
      <c r="M20" s="1">
        <v>2589</v>
      </c>
      <c r="N20" t="s">
        <v>27</v>
      </c>
      <c r="O20" s="5">
        <f>EDATE(O19,1)</f>
        <v>41275</v>
      </c>
      <c r="P20">
        <v>19</v>
      </c>
      <c r="Q20">
        <v>20</v>
      </c>
      <c r="R20" s="2">
        <f>ROUND(IF(1=1,IF(0&gt;0,1.5/(100+1.5)/0,1.5/(100+1.5)/36),1.5/(100+1.5)/36)*100,4)</f>
        <v>4.1099999999999998E-2</v>
      </c>
      <c r="T20" s="2">
        <v>4.1099999999999998E-2</v>
      </c>
      <c r="U20" t="s">
        <v>28</v>
      </c>
      <c r="V20" t="s">
        <v>29</v>
      </c>
      <c r="W20">
        <v>4722.2222222222299</v>
      </c>
      <c r="X20">
        <v>277.77777777777777</v>
      </c>
      <c r="Y20">
        <v>24.988425925925966</v>
      </c>
    </row>
    <row r="21" spans="1:25" x14ac:dyDescent="0.25">
      <c r="A21">
        <v>1</v>
      </c>
      <c r="B21" s="1">
        <v>1001</v>
      </c>
      <c r="C21" s="2" t="s">
        <v>25</v>
      </c>
      <c r="D21" s="2">
        <v>21241.53</v>
      </c>
      <c r="E21" s="2">
        <v>12680.12444444446</v>
      </c>
      <c r="F21" s="1">
        <v>36</v>
      </c>
      <c r="G21" s="1">
        <v>20</v>
      </c>
      <c r="H21" s="2" t="s">
        <v>26</v>
      </c>
      <c r="J21" s="2" t="s">
        <v>26</v>
      </c>
      <c r="K21" s="2" t="s">
        <v>26</v>
      </c>
      <c r="L21" s="2" t="s">
        <v>26</v>
      </c>
      <c r="M21" s="1">
        <v>2589</v>
      </c>
      <c r="N21" t="s">
        <v>27</v>
      </c>
      <c r="O21" s="5">
        <f>EDATE(O20,1)</f>
        <v>41306</v>
      </c>
      <c r="P21">
        <v>20</v>
      </c>
      <c r="Q21">
        <v>21</v>
      </c>
      <c r="R21" s="2">
        <f>ROUND(IF(1=1,IF(0&gt;0,1.5/(100+1.5)/0,1.5/(100+1.5)/36),1.5/(100+1.5)/36)*100,4)</f>
        <v>4.1099999999999998E-2</v>
      </c>
      <c r="T21" s="2">
        <v>4.1099999999999998E-2</v>
      </c>
      <c r="U21" t="s">
        <v>28</v>
      </c>
      <c r="V21" t="s">
        <v>29</v>
      </c>
      <c r="W21">
        <v>4444.4444444444525</v>
      </c>
      <c r="X21">
        <v>277.77777777777777</v>
      </c>
      <c r="Y21">
        <v>23.518518518518562</v>
      </c>
    </row>
    <row r="22" spans="1:25" x14ac:dyDescent="0.25">
      <c r="A22">
        <v>1</v>
      </c>
      <c r="B22" s="1">
        <v>1001</v>
      </c>
      <c r="C22" s="2" t="s">
        <v>25</v>
      </c>
      <c r="D22" s="2">
        <v>21241.53</v>
      </c>
      <c r="E22" s="2">
        <v>12252.054166666683</v>
      </c>
      <c r="F22" s="1">
        <v>36</v>
      </c>
      <c r="G22" s="1">
        <v>21</v>
      </c>
      <c r="H22" s="2" t="s">
        <v>26</v>
      </c>
      <c r="J22" s="2" t="s">
        <v>26</v>
      </c>
      <c r="K22" s="2" t="s">
        <v>26</v>
      </c>
      <c r="L22" s="2" t="s">
        <v>26</v>
      </c>
      <c r="M22" s="1">
        <v>2589</v>
      </c>
      <c r="N22" t="s">
        <v>27</v>
      </c>
      <c r="O22" s="5">
        <f>EDATE(O21,1)</f>
        <v>41334</v>
      </c>
      <c r="P22">
        <v>21</v>
      </c>
      <c r="Q22">
        <v>22</v>
      </c>
      <c r="R22" s="2">
        <f>ROUND(IF(1=1,IF(0&gt;0,1.5/(100+1.5)/0,1.5/(100+1.5)/36),1.5/(100+1.5)/36)*100,4)</f>
        <v>4.1099999999999998E-2</v>
      </c>
      <c r="T22" s="2">
        <v>4.1099999999999998E-2</v>
      </c>
      <c r="U22" t="s">
        <v>28</v>
      </c>
      <c r="V22" t="s">
        <v>29</v>
      </c>
      <c r="W22">
        <v>4166.6666666666752</v>
      </c>
      <c r="X22">
        <v>277.77777777777777</v>
      </c>
      <c r="Y22">
        <v>22.048611111111157</v>
      </c>
    </row>
    <row r="23" spans="1:25" x14ac:dyDescent="0.25">
      <c r="A23">
        <v>1</v>
      </c>
      <c r="B23" s="1">
        <v>1001</v>
      </c>
      <c r="C23" s="2" t="s">
        <v>25</v>
      </c>
      <c r="D23" s="2">
        <v>21241.53</v>
      </c>
      <c r="E23" s="2">
        <v>11823.983888888906</v>
      </c>
      <c r="F23" s="1">
        <v>36</v>
      </c>
      <c r="G23" s="1">
        <v>22</v>
      </c>
      <c r="H23" s="2" t="s">
        <v>26</v>
      </c>
      <c r="J23" s="2" t="s">
        <v>26</v>
      </c>
      <c r="K23" s="2" t="s">
        <v>26</v>
      </c>
      <c r="L23" s="2" t="s">
        <v>26</v>
      </c>
      <c r="M23" s="1">
        <v>2589</v>
      </c>
      <c r="N23" t="s">
        <v>27</v>
      </c>
      <c r="O23" s="5">
        <f>EDATE(O22,1)</f>
        <v>41365</v>
      </c>
      <c r="P23">
        <v>22</v>
      </c>
      <c r="Q23">
        <v>23</v>
      </c>
      <c r="R23" s="2">
        <f>ROUND(IF(1=1,IF(0&gt;0,1.5/(100+1.5)/0,1.5/(100+1.5)/36),1.5/(100+1.5)/36)*100,4)</f>
        <v>4.1099999999999998E-2</v>
      </c>
      <c r="T23" s="2">
        <v>4.1099999999999998E-2</v>
      </c>
      <c r="U23" t="s">
        <v>28</v>
      </c>
      <c r="V23" t="s">
        <v>29</v>
      </c>
      <c r="W23">
        <v>3888.8888888888973</v>
      </c>
      <c r="X23">
        <v>277.77777777777777</v>
      </c>
      <c r="Y23">
        <v>20.578703703703749</v>
      </c>
    </row>
    <row r="24" spans="1:25" x14ac:dyDescent="0.25">
      <c r="A24">
        <v>1</v>
      </c>
      <c r="B24" s="1">
        <v>1001</v>
      </c>
      <c r="C24" s="2" t="s">
        <v>25</v>
      </c>
      <c r="D24" s="2">
        <v>21241.53</v>
      </c>
      <c r="E24" s="2">
        <v>11395.913611111129</v>
      </c>
      <c r="F24" s="1">
        <v>36</v>
      </c>
      <c r="G24" s="1">
        <v>23</v>
      </c>
      <c r="H24" s="2" t="s">
        <v>26</v>
      </c>
      <c r="J24" s="2" t="s">
        <v>26</v>
      </c>
      <c r="K24" s="2" t="s">
        <v>26</v>
      </c>
      <c r="L24" s="2" t="s">
        <v>26</v>
      </c>
      <c r="M24" s="1">
        <v>2589</v>
      </c>
      <c r="N24" t="s">
        <v>27</v>
      </c>
      <c r="O24" s="5">
        <f>EDATE(O23,1)</f>
        <v>41395</v>
      </c>
      <c r="P24">
        <v>23</v>
      </c>
      <c r="Q24">
        <v>24</v>
      </c>
      <c r="R24" s="2">
        <f>ROUND(IF(1=1,IF(0&gt;0,1.5/(100+1.5)/0,1.5/(100+1.5)/36),1.5/(100+1.5)/36)*100,4)</f>
        <v>4.1099999999999998E-2</v>
      </c>
      <c r="T24" s="2">
        <v>4.1099999999999998E-2</v>
      </c>
      <c r="U24" t="s">
        <v>28</v>
      </c>
      <c r="V24" t="s">
        <v>29</v>
      </c>
      <c r="W24">
        <v>3611.1111111111195</v>
      </c>
      <c r="X24">
        <v>277.77777777777777</v>
      </c>
      <c r="Y24">
        <v>19.10879629629634</v>
      </c>
    </row>
    <row r="25" spans="1:25" x14ac:dyDescent="0.25">
      <c r="A25">
        <v>1</v>
      </c>
      <c r="B25" s="1">
        <v>1001</v>
      </c>
      <c r="C25" s="2" t="s">
        <v>25</v>
      </c>
      <c r="D25" s="2">
        <v>21241.53</v>
      </c>
      <c r="E25" s="2">
        <v>10967.843333333352</v>
      </c>
      <c r="F25" s="1">
        <v>36</v>
      </c>
      <c r="G25" s="1">
        <v>24</v>
      </c>
      <c r="H25" s="2" t="s">
        <v>26</v>
      </c>
      <c r="J25" s="2" t="s">
        <v>26</v>
      </c>
      <c r="K25" s="2" t="s">
        <v>26</v>
      </c>
      <c r="L25" s="2" t="s">
        <v>26</v>
      </c>
      <c r="M25" s="1">
        <v>2589</v>
      </c>
      <c r="N25" t="s">
        <v>27</v>
      </c>
      <c r="O25" s="5">
        <f>EDATE(O24,1)</f>
        <v>41426</v>
      </c>
      <c r="P25">
        <v>24</v>
      </c>
      <c r="Q25">
        <v>25</v>
      </c>
      <c r="R25" s="2">
        <f>ROUND(IF(1=1,IF(0&gt;0,1.5/(100+1.5)/0,1.5/(100+1.5)/36),1.5/(100+1.5)/36)*100,4)</f>
        <v>4.1099999999999998E-2</v>
      </c>
      <c r="T25" s="2">
        <v>4.1099999999999998E-2</v>
      </c>
      <c r="U25" t="s">
        <v>28</v>
      </c>
      <c r="V25" t="s">
        <v>29</v>
      </c>
      <c r="W25">
        <v>3333.3333333333417</v>
      </c>
      <c r="X25">
        <v>277.77777777777777</v>
      </c>
      <c r="Y25">
        <v>17.638888888888932</v>
      </c>
    </row>
    <row r="26" spans="1:25" x14ac:dyDescent="0.25">
      <c r="A26">
        <v>1</v>
      </c>
      <c r="B26" s="1">
        <v>1001</v>
      </c>
      <c r="C26" s="2" t="s">
        <v>25</v>
      </c>
      <c r="D26" s="2">
        <v>21241.53</v>
      </c>
      <c r="E26" s="2">
        <v>10539.773055555575</v>
      </c>
      <c r="F26" s="1">
        <v>36</v>
      </c>
      <c r="G26" s="1">
        <v>25</v>
      </c>
      <c r="H26" s="2" t="s">
        <v>26</v>
      </c>
      <c r="J26" s="2" t="s">
        <v>26</v>
      </c>
      <c r="K26" s="2" t="s">
        <v>26</v>
      </c>
      <c r="L26" s="2" t="s">
        <v>26</v>
      </c>
      <c r="M26" s="1">
        <v>2589</v>
      </c>
      <c r="N26" t="s">
        <v>27</v>
      </c>
      <c r="O26" s="5">
        <f>EDATE(O25,1)</f>
        <v>41456</v>
      </c>
      <c r="P26">
        <v>25</v>
      </c>
      <c r="Q26">
        <v>26</v>
      </c>
      <c r="R26" s="2">
        <f>ROUND(IF(1=1,IF(0&gt;0,1.5/(100+1.5)/0,1.5/(100+1.5)/36),1.5/(100+1.5)/36)*100,4)</f>
        <v>4.1099999999999998E-2</v>
      </c>
      <c r="T26" s="2">
        <v>4.1099999999999998E-2</v>
      </c>
      <c r="U26" t="s">
        <v>28</v>
      </c>
      <c r="V26" t="s">
        <v>29</v>
      </c>
      <c r="W26">
        <v>3055.5555555555638</v>
      </c>
      <c r="X26">
        <v>277.77777777777777</v>
      </c>
      <c r="Y26">
        <v>16.168981481481527</v>
      </c>
    </row>
    <row r="27" spans="1:25" x14ac:dyDescent="0.25">
      <c r="A27">
        <v>1</v>
      </c>
      <c r="B27" s="1">
        <v>1001</v>
      </c>
      <c r="C27" s="2" t="s">
        <v>25</v>
      </c>
      <c r="D27" s="2">
        <v>21241.53</v>
      </c>
      <c r="E27" s="2">
        <v>10111.702777777798</v>
      </c>
      <c r="F27" s="1">
        <v>36</v>
      </c>
      <c r="G27" s="1">
        <v>26</v>
      </c>
      <c r="H27" s="2" t="s">
        <v>26</v>
      </c>
      <c r="J27" s="2" t="s">
        <v>26</v>
      </c>
      <c r="K27" s="2" t="s">
        <v>26</v>
      </c>
      <c r="L27" s="2" t="s">
        <v>26</v>
      </c>
      <c r="M27" s="1">
        <v>2589</v>
      </c>
      <c r="N27" t="s">
        <v>27</v>
      </c>
      <c r="O27" s="5">
        <f>EDATE(O26,1)</f>
        <v>41487</v>
      </c>
      <c r="P27">
        <v>26</v>
      </c>
      <c r="Q27">
        <v>27</v>
      </c>
      <c r="R27" s="2">
        <f>ROUND(IF(1=1,IF(0&gt;0,1.5/(100+1.5)/0,1.5/(100+1.5)/36),1.5/(100+1.5)/36)*100,4)</f>
        <v>4.1099999999999998E-2</v>
      </c>
      <c r="T27" s="2">
        <v>4.1099999999999998E-2</v>
      </c>
      <c r="U27" t="s">
        <v>28</v>
      </c>
      <c r="V27" t="s">
        <v>29</v>
      </c>
      <c r="W27">
        <v>2777.777777777786</v>
      </c>
      <c r="X27">
        <v>277.77777777777777</v>
      </c>
      <c r="Y27">
        <v>14.699074074074119</v>
      </c>
    </row>
    <row r="28" spans="1:25" x14ac:dyDescent="0.25">
      <c r="A28">
        <v>1</v>
      </c>
      <c r="B28" s="1">
        <v>1001</v>
      </c>
      <c r="C28" s="2" t="s">
        <v>25</v>
      </c>
      <c r="D28" s="2">
        <v>21241.53</v>
      </c>
      <c r="E28" s="2">
        <v>9683.6325000000215</v>
      </c>
      <c r="F28" s="1">
        <v>36</v>
      </c>
      <c r="G28" s="1">
        <v>27</v>
      </c>
      <c r="H28" s="2" t="s">
        <v>26</v>
      </c>
      <c r="J28" s="2" t="s">
        <v>26</v>
      </c>
      <c r="K28" s="2" t="s">
        <v>26</v>
      </c>
      <c r="L28" s="2" t="s">
        <v>26</v>
      </c>
      <c r="M28" s="1">
        <v>2589</v>
      </c>
      <c r="N28" t="s">
        <v>27</v>
      </c>
      <c r="O28" s="5">
        <f>EDATE(O27,1)</f>
        <v>41518</v>
      </c>
      <c r="P28">
        <v>27</v>
      </c>
      <c r="Q28">
        <v>28</v>
      </c>
      <c r="R28" s="2">
        <f>ROUND(IF(1=1,IF(0&gt;0,1.5/(100+1.5)/0,1.5/(100+1.5)/36),1.5/(100+1.5)/36)*100,4)</f>
        <v>4.1099999999999998E-2</v>
      </c>
      <c r="T28" s="2">
        <v>4.1099999999999998E-2</v>
      </c>
      <c r="U28" t="s">
        <v>28</v>
      </c>
      <c r="V28" t="s">
        <v>29</v>
      </c>
      <c r="W28">
        <v>2500.0000000000082</v>
      </c>
      <c r="X28">
        <v>277.77777777777777</v>
      </c>
      <c r="Y28">
        <v>13.229166666666709</v>
      </c>
    </row>
    <row r="29" spans="1:25" x14ac:dyDescent="0.25">
      <c r="A29">
        <v>1</v>
      </c>
      <c r="B29" s="1">
        <v>1001</v>
      </c>
      <c r="C29" s="2" t="s">
        <v>25</v>
      </c>
      <c r="D29" s="2">
        <v>21241.53</v>
      </c>
      <c r="E29" s="2">
        <v>9255.5622222222446</v>
      </c>
      <c r="F29" s="1">
        <v>36</v>
      </c>
      <c r="G29" s="1">
        <v>28</v>
      </c>
      <c r="H29" s="2" t="s">
        <v>26</v>
      </c>
      <c r="J29" s="2" t="s">
        <v>26</v>
      </c>
      <c r="K29" s="2" t="s">
        <v>26</v>
      </c>
      <c r="L29" s="2" t="s">
        <v>26</v>
      </c>
      <c r="M29" s="1">
        <v>2589</v>
      </c>
      <c r="N29" t="s">
        <v>27</v>
      </c>
      <c r="O29" s="5">
        <f>EDATE(O28,1)</f>
        <v>41548</v>
      </c>
      <c r="P29">
        <v>28</v>
      </c>
      <c r="Q29">
        <v>29</v>
      </c>
      <c r="R29" s="2">
        <f>ROUND(IF(1=1,IF(0&gt;0,1.5/(100+1.5)/0,1.5/(100+1.5)/36),1.5/(100+1.5)/36)*100,4)</f>
        <v>4.1099999999999998E-2</v>
      </c>
      <c r="T29" s="2">
        <v>4.1099999999999998E-2</v>
      </c>
      <c r="U29" t="s">
        <v>28</v>
      </c>
      <c r="V29" t="s">
        <v>29</v>
      </c>
      <c r="W29">
        <v>2222.2222222222304</v>
      </c>
      <c r="X29">
        <v>277.77777777777777</v>
      </c>
      <c r="Y29">
        <v>11.759259259259302</v>
      </c>
    </row>
    <row r="30" spans="1:25" x14ac:dyDescent="0.25">
      <c r="A30">
        <v>1</v>
      </c>
      <c r="B30" s="1">
        <v>1001</v>
      </c>
      <c r="C30" s="2" t="s">
        <v>25</v>
      </c>
      <c r="D30" s="2">
        <v>21241.53</v>
      </c>
      <c r="E30" s="2">
        <v>8827.4919444444677</v>
      </c>
      <c r="F30" s="1">
        <v>36</v>
      </c>
      <c r="G30" s="1">
        <v>29</v>
      </c>
      <c r="H30" s="2" t="s">
        <v>26</v>
      </c>
      <c r="J30" s="2" t="s">
        <v>26</v>
      </c>
      <c r="K30" s="2" t="s">
        <v>26</v>
      </c>
      <c r="L30" s="2" t="s">
        <v>26</v>
      </c>
      <c r="M30" s="1">
        <v>2589</v>
      </c>
      <c r="N30" t="s">
        <v>27</v>
      </c>
      <c r="O30" s="5">
        <f>EDATE(O29,1)</f>
        <v>41579</v>
      </c>
      <c r="P30">
        <v>29</v>
      </c>
      <c r="Q30">
        <v>30</v>
      </c>
      <c r="R30" s="2">
        <f>ROUND(IF(1=1,IF(0&gt;0,1.5/(100+1.5)/0,1.5/(100+1.5)/36),1.5/(100+1.5)/36)*100,4)</f>
        <v>4.1099999999999998E-2</v>
      </c>
      <c r="T30" s="2">
        <v>4.1099999999999998E-2</v>
      </c>
      <c r="U30" t="s">
        <v>28</v>
      </c>
      <c r="V30" t="s">
        <v>29</v>
      </c>
      <c r="W30">
        <v>1944.4444444444525</v>
      </c>
      <c r="X30">
        <v>277.77777777777777</v>
      </c>
      <c r="Y30">
        <v>10.289351851851896</v>
      </c>
    </row>
    <row r="31" spans="1:25" x14ac:dyDescent="0.25">
      <c r="A31">
        <v>1</v>
      </c>
      <c r="B31" s="1">
        <v>1001</v>
      </c>
      <c r="C31" s="2" t="s">
        <v>25</v>
      </c>
      <c r="D31" s="2">
        <v>21241.53</v>
      </c>
      <c r="E31" s="2">
        <v>8399.4216666666907</v>
      </c>
      <c r="F31" s="1">
        <v>36</v>
      </c>
      <c r="G31" s="1">
        <v>30</v>
      </c>
      <c r="H31" s="2" t="s">
        <v>26</v>
      </c>
      <c r="J31" s="2" t="s">
        <v>26</v>
      </c>
      <c r="K31" s="2" t="s">
        <v>26</v>
      </c>
      <c r="L31" s="2" t="s">
        <v>26</v>
      </c>
      <c r="M31" s="1">
        <v>2589</v>
      </c>
      <c r="N31" t="s">
        <v>27</v>
      </c>
      <c r="O31" s="5">
        <f>EDATE(O30,1)</f>
        <v>41609</v>
      </c>
      <c r="P31">
        <v>30</v>
      </c>
      <c r="Q31">
        <v>31</v>
      </c>
      <c r="R31" s="2">
        <f>ROUND(IF(1=1,IF(0&gt;0,1.5/(100+1.5)/0,1.5/(100+1.5)/36),1.5/(100+1.5)/36)*100,4)</f>
        <v>4.1099999999999998E-2</v>
      </c>
      <c r="T31" s="2">
        <v>4.1099999999999998E-2</v>
      </c>
      <c r="U31" t="s">
        <v>28</v>
      </c>
      <c r="V31" t="s">
        <v>29</v>
      </c>
      <c r="W31">
        <v>1666.6666666666747</v>
      </c>
      <c r="X31">
        <v>277.77777777777777</v>
      </c>
      <c r="Y31">
        <v>8.8194444444444873</v>
      </c>
    </row>
    <row r="32" spans="1:25" x14ac:dyDescent="0.25">
      <c r="A32">
        <v>1</v>
      </c>
      <c r="B32" s="1">
        <v>1001</v>
      </c>
      <c r="C32" s="2" t="s">
        <v>25</v>
      </c>
      <c r="D32" s="2">
        <v>21241.53</v>
      </c>
      <c r="E32" s="2">
        <v>7971.3513888889129</v>
      </c>
      <c r="F32" s="1">
        <v>36</v>
      </c>
      <c r="G32" s="1">
        <v>31</v>
      </c>
      <c r="H32" s="2" t="s">
        <v>26</v>
      </c>
      <c r="J32" s="2" t="s">
        <v>26</v>
      </c>
      <c r="K32" s="2" t="s">
        <v>26</v>
      </c>
      <c r="L32" s="2" t="s">
        <v>26</v>
      </c>
      <c r="M32" s="1">
        <v>2589</v>
      </c>
      <c r="N32" t="s">
        <v>27</v>
      </c>
      <c r="O32" s="5">
        <f>EDATE(O31,1)</f>
        <v>41640</v>
      </c>
      <c r="P32">
        <v>31</v>
      </c>
      <c r="Q32">
        <v>32</v>
      </c>
      <c r="R32" s="2">
        <f>ROUND(IF(1=1,IF(0&gt;0,1.5/(100+1.5)/0,1.5/(100+1.5)/36),1.5/(100+1.5)/36)*100,4)</f>
        <v>4.1099999999999998E-2</v>
      </c>
      <c r="T32" s="2">
        <v>4.1099999999999998E-2</v>
      </c>
      <c r="U32" t="s">
        <v>28</v>
      </c>
      <c r="V32" t="s">
        <v>29</v>
      </c>
      <c r="W32">
        <v>1388.8888888888969</v>
      </c>
      <c r="X32">
        <v>277.77777777777777</v>
      </c>
      <c r="Y32">
        <v>7.3495370370370798</v>
      </c>
    </row>
    <row r="33" spans="1:25" x14ac:dyDescent="0.25">
      <c r="A33">
        <v>1</v>
      </c>
      <c r="B33" s="1">
        <v>1001</v>
      </c>
      <c r="C33" s="2" t="s">
        <v>25</v>
      </c>
      <c r="D33" s="2">
        <v>21241.53</v>
      </c>
      <c r="E33" s="2">
        <v>7543.281111111135</v>
      </c>
      <c r="F33" s="1">
        <v>36</v>
      </c>
      <c r="G33" s="1">
        <v>32</v>
      </c>
      <c r="H33" s="2" t="s">
        <v>26</v>
      </c>
      <c r="J33" s="2" t="s">
        <v>26</v>
      </c>
      <c r="K33" s="2" t="s">
        <v>26</v>
      </c>
      <c r="L33" s="2" t="s">
        <v>26</v>
      </c>
      <c r="M33" s="1">
        <v>2589</v>
      </c>
      <c r="N33" t="s">
        <v>27</v>
      </c>
      <c r="O33" s="5">
        <f>EDATE(O32,1)</f>
        <v>41671</v>
      </c>
      <c r="P33">
        <v>32</v>
      </c>
      <c r="Q33">
        <v>33</v>
      </c>
      <c r="R33" s="2">
        <f>ROUND(IF(1=1,IF(0&gt;0,1.5/(100+1.5)/0,1.5/(100+1.5)/36),1.5/(100+1.5)/36)*100,4)</f>
        <v>4.1099999999999998E-2</v>
      </c>
      <c r="T33" s="2">
        <v>4.1099999999999998E-2</v>
      </c>
      <c r="U33" t="s">
        <v>28</v>
      </c>
      <c r="V33" t="s">
        <v>29</v>
      </c>
      <c r="W33">
        <v>1111.111111111119</v>
      </c>
      <c r="X33">
        <v>277.77777777777777</v>
      </c>
      <c r="Y33">
        <v>5.8796296296296715</v>
      </c>
    </row>
    <row r="34" spans="1:25" x14ac:dyDescent="0.25">
      <c r="A34">
        <v>1</v>
      </c>
      <c r="B34" s="1">
        <v>1001</v>
      </c>
      <c r="C34" s="2" t="s">
        <v>25</v>
      </c>
      <c r="D34" s="2">
        <v>21241.53</v>
      </c>
      <c r="E34" s="2">
        <v>7115.2108333333572</v>
      </c>
      <c r="F34" s="1">
        <v>36</v>
      </c>
      <c r="G34" s="1">
        <v>33</v>
      </c>
      <c r="H34" s="2" t="s">
        <v>26</v>
      </c>
      <c r="J34" s="2" t="s">
        <v>26</v>
      </c>
      <c r="K34" s="2" t="s">
        <v>26</v>
      </c>
      <c r="L34" s="2" t="s">
        <v>26</v>
      </c>
      <c r="M34" s="1">
        <v>2589</v>
      </c>
      <c r="N34" t="s">
        <v>27</v>
      </c>
      <c r="O34" s="5">
        <f>EDATE(O33,1)</f>
        <v>41699</v>
      </c>
      <c r="P34">
        <v>33</v>
      </c>
      <c r="Q34">
        <v>34</v>
      </c>
      <c r="R34" s="2">
        <f>ROUND(IF(1=1,IF(0&gt;0,1.5/(100+1.5)/0,1.5/(100+1.5)/36),1.5/(100+1.5)/36)*100,4)</f>
        <v>4.1099999999999998E-2</v>
      </c>
      <c r="T34" s="2">
        <v>4.1099999999999998E-2</v>
      </c>
      <c r="U34" t="s">
        <v>28</v>
      </c>
      <c r="V34" t="s">
        <v>29</v>
      </c>
      <c r="W34">
        <v>833.33333333334122</v>
      </c>
      <c r="X34">
        <v>277.77777777777777</v>
      </c>
      <c r="Y34">
        <v>4.4097222222222641</v>
      </c>
    </row>
    <row r="35" spans="1:25" x14ac:dyDescent="0.25">
      <c r="A35">
        <v>1</v>
      </c>
      <c r="B35" s="1">
        <v>1001</v>
      </c>
      <c r="C35" s="2" t="s">
        <v>25</v>
      </c>
      <c r="D35" s="2">
        <v>21241.53</v>
      </c>
      <c r="E35" s="2">
        <v>6687.1405555555793</v>
      </c>
      <c r="F35" s="1">
        <v>36</v>
      </c>
      <c r="G35" s="1">
        <v>34</v>
      </c>
      <c r="H35" s="2" t="s">
        <v>26</v>
      </c>
      <c r="J35" s="2" t="s">
        <v>26</v>
      </c>
      <c r="K35" s="2" t="s">
        <v>26</v>
      </c>
      <c r="L35" s="2" t="s">
        <v>26</v>
      </c>
      <c r="M35" s="1">
        <v>2589</v>
      </c>
      <c r="N35" t="s">
        <v>27</v>
      </c>
      <c r="O35" s="5">
        <f>EDATE(O34,1)</f>
        <v>41730</v>
      </c>
      <c r="P35">
        <v>34</v>
      </c>
      <c r="Q35">
        <v>35</v>
      </c>
      <c r="R35" s="2">
        <f>ROUND(IF(1=1,IF(0&gt;0,1.5/(100+1.5)/0,1.5/(100+1.5)/36),1.5/(100+1.5)/36)*100,4)</f>
        <v>4.1099999999999998E-2</v>
      </c>
      <c r="T35" s="2">
        <v>4.1099999999999998E-2</v>
      </c>
      <c r="U35" t="s">
        <v>28</v>
      </c>
      <c r="V35" t="s">
        <v>29</v>
      </c>
      <c r="W35">
        <v>555.55555555556339</v>
      </c>
      <c r="X35">
        <v>277.77777777777777</v>
      </c>
      <c r="Y35">
        <v>2.9398148148148562</v>
      </c>
    </row>
    <row r="36" spans="1:25" x14ac:dyDescent="0.25">
      <c r="A36">
        <v>1</v>
      </c>
      <c r="B36" s="1">
        <v>1001</v>
      </c>
      <c r="C36" s="2" t="s">
        <v>25</v>
      </c>
      <c r="D36" s="2">
        <v>21241.53</v>
      </c>
      <c r="E36" s="2">
        <v>6259.0702777778015</v>
      </c>
      <c r="F36" s="1">
        <v>36</v>
      </c>
      <c r="G36" s="1">
        <v>35</v>
      </c>
      <c r="H36" s="2" t="s">
        <v>26</v>
      </c>
      <c r="J36" s="2" t="s">
        <v>26</v>
      </c>
      <c r="K36" s="2" t="s">
        <v>26</v>
      </c>
      <c r="L36" s="2" t="s">
        <v>26</v>
      </c>
      <c r="M36" s="1">
        <v>2589</v>
      </c>
      <c r="N36" t="s">
        <v>27</v>
      </c>
      <c r="O36" s="5">
        <f>EDATE(O35,1)</f>
        <v>41760</v>
      </c>
      <c r="P36">
        <v>35</v>
      </c>
      <c r="Q36">
        <v>36</v>
      </c>
      <c r="R36" s="2">
        <f>ROUND(IF(1=1,IF(0&gt;0,1.5/(100+1.5)/0,1.5/(100+1.5)/36),1.5/(100+1.5)/36)*100,4)</f>
        <v>4.1099999999999998E-2</v>
      </c>
      <c r="T36" s="2">
        <v>4.1099999999999998E-2</v>
      </c>
      <c r="U36" t="s">
        <v>28</v>
      </c>
      <c r="V36" t="s">
        <v>29</v>
      </c>
      <c r="W36">
        <v>277.77777777778562</v>
      </c>
      <c r="X36">
        <v>277.77777777777777</v>
      </c>
      <c r="Y36">
        <v>1.469907407407449</v>
      </c>
    </row>
    <row r="37" spans="1:25" x14ac:dyDescent="0.25">
      <c r="A37">
        <v>1</v>
      </c>
      <c r="B37" s="1">
        <v>1001</v>
      </c>
      <c r="C37" s="2" t="s">
        <v>25</v>
      </c>
      <c r="D37" s="2">
        <v>21241.53</v>
      </c>
      <c r="E37" s="2">
        <v>5831.0000000000236</v>
      </c>
      <c r="F37" s="1">
        <v>36</v>
      </c>
      <c r="G37" s="1">
        <v>36</v>
      </c>
      <c r="H37" s="2" t="s">
        <v>26</v>
      </c>
      <c r="J37" s="2" t="s">
        <v>26</v>
      </c>
      <c r="K37" s="2" t="s">
        <v>26</v>
      </c>
      <c r="L37" s="2" t="s">
        <v>26</v>
      </c>
      <c r="M37" s="1">
        <v>2589</v>
      </c>
      <c r="N37" t="s">
        <v>27</v>
      </c>
      <c r="O37" s="5">
        <f>EDATE(O36,1)</f>
        <v>41791</v>
      </c>
      <c r="P37">
        <v>36</v>
      </c>
      <c r="Q37">
        <v>37</v>
      </c>
      <c r="R37" s="2">
        <f>ROUND(IF(1=1,IF(0&gt;0,1.5/(100+1.5)/0,1.5/(100+1.5)/36),1.5/(100+1.5)/36)*100,4)</f>
        <v>4.1099999999999998E-2</v>
      </c>
      <c r="T37" s="2">
        <v>4.1099999999999998E-2</v>
      </c>
      <c r="U37" t="s">
        <v>28</v>
      </c>
      <c r="V37" t="s">
        <v>29</v>
      </c>
      <c r="W37">
        <v>7.8443918027915061E-12</v>
      </c>
      <c r="X37">
        <v>277.77777777777777</v>
      </c>
      <c r="Y37">
        <v>4.150990662310505E-14</v>
      </c>
    </row>
    <row r="38" spans="1:25" x14ac:dyDescent="0.25">
      <c r="A38">
        <v>1</v>
      </c>
      <c r="B38" s="1">
        <v>1001</v>
      </c>
      <c r="C38" s="2" t="s">
        <v>25</v>
      </c>
      <c r="D38" s="2">
        <v>21241.53</v>
      </c>
      <c r="E38" s="2">
        <v>5402.9297222222458</v>
      </c>
      <c r="F38" s="1">
        <v>36</v>
      </c>
      <c r="G38" s="1">
        <v>37</v>
      </c>
      <c r="H38" s="2" t="s">
        <v>26</v>
      </c>
      <c r="J38" s="2" t="s">
        <v>26</v>
      </c>
      <c r="K38" s="2">
        <v>10000</v>
      </c>
      <c r="L38" s="2" t="s">
        <v>26</v>
      </c>
      <c r="M38" s="1">
        <v>2589</v>
      </c>
      <c r="N38" t="s">
        <v>27</v>
      </c>
      <c r="O38" s="5">
        <f>EDATE(O37,1)</f>
        <v>41821</v>
      </c>
      <c r="P38">
        <v>37</v>
      </c>
      <c r="Q38">
        <v>999</v>
      </c>
      <c r="R38" s="2">
        <v>0</v>
      </c>
      <c r="T38" s="2">
        <v>0</v>
      </c>
      <c r="U38" t="s">
        <v>28</v>
      </c>
      <c r="V38" t="s">
        <v>29</v>
      </c>
      <c r="W38">
        <v>-277.77777777776993</v>
      </c>
      <c r="X38">
        <v>277.77777777777777</v>
      </c>
      <c r="Y38">
        <v>-1.4699074074073659</v>
      </c>
    </row>
    <row r="39" spans="1:25" x14ac:dyDescent="0.25">
      <c r="A39">
        <v>1</v>
      </c>
      <c r="B39" s="1">
        <v>1001</v>
      </c>
      <c r="C39" s="2" t="s">
        <v>25</v>
      </c>
      <c r="D39" s="2">
        <v>21241.53</v>
      </c>
      <c r="E39" s="2">
        <v>20813.459722222222</v>
      </c>
      <c r="F39" s="1">
        <v>36</v>
      </c>
      <c r="G39" s="1">
        <v>1</v>
      </c>
      <c r="H39" s="2" t="s">
        <v>26</v>
      </c>
      <c r="J39" s="2" t="s">
        <v>26</v>
      </c>
      <c r="K39" s="2" t="s">
        <v>26</v>
      </c>
      <c r="L39" s="2" t="s">
        <v>26</v>
      </c>
      <c r="M39" s="1">
        <v>2862</v>
      </c>
      <c r="N39" t="s">
        <v>30</v>
      </c>
      <c r="O39" s="5">
        <v>40725</v>
      </c>
      <c r="P39">
        <v>1</v>
      </c>
      <c r="Q39">
        <v>2</v>
      </c>
      <c r="R39" s="2">
        <v>428.07027777777773</v>
      </c>
      <c r="T39" s="2">
        <v>428.07027777777773</v>
      </c>
      <c r="U39" t="s">
        <v>29</v>
      </c>
      <c r="V39" t="s">
        <v>29</v>
      </c>
      <c r="W39">
        <v>9722.2222222222226</v>
      </c>
      <c r="X39">
        <v>277.77777777777777</v>
      </c>
      <c r="Y39">
        <v>51.446759259259267</v>
      </c>
    </row>
    <row r="40" spans="1:25" x14ac:dyDescent="0.25">
      <c r="A40">
        <v>1</v>
      </c>
      <c r="B40" s="1">
        <v>1001</v>
      </c>
      <c r="C40" s="2" t="s">
        <v>25</v>
      </c>
      <c r="D40" s="2">
        <v>21241.53</v>
      </c>
      <c r="E40" s="2">
        <v>20385.389444444445</v>
      </c>
      <c r="F40" s="1">
        <v>36</v>
      </c>
      <c r="G40" s="1">
        <v>2</v>
      </c>
      <c r="H40" s="2" t="s">
        <v>26</v>
      </c>
      <c r="J40" s="2" t="s">
        <v>26</v>
      </c>
      <c r="K40" s="2" t="s">
        <v>26</v>
      </c>
      <c r="L40" s="2" t="s">
        <v>26</v>
      </c>
      <c r="M40" s="1">
        <v>2862</v>
      </c>
      <c r="N40" t="s">
        <v>30</v>
      </c>
      <c r="O40" s="5">
        <f>EDATE(O39,1)</f>
        <v>40756</v>
      </c>
      <c r="P40">
        <v>2</v>
      </c>
      <c r="Q40">
        <v>3</v>
      </c>
      <c r="R40" s="2">
        <v>428.07027777777773</v>
      </c>
      <c r="T40" s="2">
        <v>428.07027777777773</v>
      </c>
      <c r="U40" t="s">
        <v>29</v>
      </c>
      <c r="V40" t="s">
        <v>29</v>
      </c>
      <c r="W40">
        <v>9444.4444444444453</v>
      </c>
      <c r="X40">
        <v>277.77777777777777</v>
      </c>
      <c r="Y40">
        <v>49.976851851851855</v>
      </c>
    </row>
    <row r="41" spans="1:25" x14ac:dyDescent="0.25">
      <c r="A41">
        <v>1</v>
      </c>
      <c r="B41" s="1">
        <v>1001</v>
      </c>
      <c r="C41" s="2" t="s">
        <v>25</v>
      </c>
      <c r="D41" s="2">
        <v>21241.53</v>
      </c>
      <c r="E41" s="2">
        <v>19957.319166666668</v>
      </c>
      <c r="F41" s="1">
        <v>36</v>
      </c>
      <c r="G41" s="1">
        <v>3</v>
      </c>
      <c r="H41" s="2" t="s">
        <v>26</v>
      </c>
      <c r="J41" s="2" t="s">
        <v>26</v>
      </c>
      <c r="K41" s="2" t="s">
        <v>26</v>
      </c>
      <c r="L41" s="2" t="s">
        <v>26</v>
      </c>
      <c r="M41" s="1">
        <v>2862</v>
      </c>
      <c r="N41" t="s">
        <v>30</v>
      </c>
      <c r="O41" s="5">
        <f>EDATE(O40,1)</f>
        <v>40787</v>
      </c>
      <c r="P41">
        <v>3</v>
      </c>
      <c r="Q41">
        <v>4</v>
      </c>
      <c r="R41" s="2">
        <v>428.07027777777773</v>
      </c>
      <c r="T41" s="2">
        <v>428.07027777777773</v>
      </c>
      <c r="U41" t="s">
        <v>29</v>
      </c>
      <c r="V41" t="s">
        <v>29</v>
      </c>
      <c r="W41">
        <v>9166.6666666666679</v>
      </c>
      <c r="X41">
        <v>277.77777777777777</v>
      </c>
      <c r="Y41">
        <v>48.50694444444445</v>
      </c>
    </row>
    <row r="42" spans="1:25" x14ac:dyDescent="0.25">
      <c r="A42">
        <v>1</v>
      </c>
      <c r="B42" s="1">
        <v>1001</v>
      </c>
      <c r="C42" s="2" t="s">
        <v>25</v>
      </c>
      <c r="D42" s="2">
        <v>21241.53</v>
      </c>
      <c r="E42" s="2">
        <v>19529.248888888891</v>
      </c>
      <c r="F42" s="1">
        <v>36</v>
      </c>
      <c r="G42" s="1">
        <v>4</v>
      </c>
      <c r="H42" s="2" t="s">
        <v>26</v>
      </c>
      <c r="J42" s="2" t="s">
        <v>26</v>
      </c>
      <c r="K42" s="2" t="s">
        <v>26</v>
      </c>
      <c r="L42" s="2" t="s">
        <v>26</v>
      </c>
      <c r="M42" s="1">
        <v>2862</v>
      </c>
      <c r="N42" t="s">
        <v>30</v>
      </c>
      <c r="O42" s="5">
        <f>EDATE(O41,1)</f>
        <v>40817</v>
      </c>
      <c r="P42">
        <v>4</v>
      </c>
      <c r="Q42">
        <v>5</v>
      </c>
      <c r="R42" s="2">
        <v>428.07027777777773</v>
      </c>
      <c r="T42" s="2">
        <v>428.07027777777773</v>
      </c>
      <c r="U42" t="s">
        <v>29</v>
      </c>
      <c r="V42" t="s">
        <v>29</v>
      </c>
      <c r="W42">
        <v>8888.8888888888905</v>
      </c>
      <c r="X42">
        <v>277.77777777777777</v>
      </c>
      <c r="Y42">
        <v>47.037037037037045</v>
      </c>
    </row>
    <row r="43" spans="1:25" x14ac:dyDescent="0.25">
      <c r="A43">
        <v>1</v>
      </c>
      <c r="B43" s="1">
        <v>1001</v>
      </c>
      <c r="C43" s="2" t="s">
        <v>25</v>
      </c>
      <c r="D43" s="2">
        <v>21241.53</v>
      </c>
      <c r="E43" s="2">
        <v>19101.178611111114</v>
      </c>
      <c r="F43" s="1">
        <v>36</v>
      </c>
      <c r="G43" s="1">
        <v>5</v>
      </c>
      <c r="H43" s="2" t="s">
        <v>26</v>
      </c>
      <c r="J43" s="2" t="s">
        <v>26</v>
      </c>
      <c r="K43" s="2" t="s">
        <v>26</v>
      </c>
      <c r="L43" s="2" t="s">
        <v>26</v>
      </c>
      <c r="M43" s="1">
        <v>2862</v>
      </c>
      <c r="N43" t="s">
        <v>30</v>
      </c>
      <c r="O43" s="5">
        <f>EDATE(O42,1)</f>
        <v>40848</v>
      </c>
      <c r="P43">
        <v>5</v>
      </c>
      <c r="Q43">
        <v>6</v>
      </c>
      <c r="R43" s="2">
        <v>428.07027777777773</v>
      </c>
      <c r="T43" s="2">
        <v>428.07027777777773</v>
      </c>
      <c r="U43" t="s">
        <v>29</v>
      </c>
      <c r="V43" t="s">
        <v>29</v>
      </c>
      <c r="W43">
        <v>8611.1111111111131</v>
      </c>
      <c r="X43">
        <v>277.77777777777777</v>
      </c>
      <c r="Y43">
        <v>45.56712962962964</v>
      </c>
    </row>
    <row r="44" spans="1:25" x14ac:dyDescent="0.25">
      <c r="A44">
        <v>1</v>
      </c>
      <c r="B44" s="1">
        <v>1001</v>
      </c>
      <c r="C44" s="2" t="s">
        <v>25</v>
      </c>
      <c r="D44" s="2">
        <v>21241.53</v>
      </c>
      <c r="E44" s="2">
        <v>18673.108333333337</v>
      </c>
      <c r="F44" s="1">
        <v>36</v>
      </c>
      <c r="G44" s="1">
        <v>6</v>
      </c>
      <c r="H44" s="2" t="s">
        <v>26</v>
      </c>
      <c r="J44" s="2" t="s">
        <v>26</v>
      </c>
      <c r="K44" s="2" t="s">
        <v>26</v>
      </c>
      <c r="L44" s="2" t="s">
        <v>26</v>
      </c>
      <c r="M44" s="1">
        <v>2862</v>
      </c>
      <c r="N44" t="s">
        <v>30</v>
      </c>
      <c r="O44" s="5">
        <f>EDATE(O43,1)</f>
        <v>40878</v>
      </c>
      <c r="P44">
        <v>6</v>
      </c>
      <c r="Q44">
        <v>7</v>
      </c>
      <c r="R44" s="2">
        <v>428.07027777777773</v>
      </c>
      <c r="T44" s="2">
        <v>428.07027777777773</v>
      </c>
      <c r="U44" t="s">
        <v>29</v>
      </c>
      <c r="V44" t="s">
        <v>29</v>
      </c>
      <c r="W44">
        <v>8333.3333333333358</v>
      </c>
      <c r="X44">
        <v>277.77777777777777</v>
      </c>
      <c r="Y44">
        <v>44.097222222222236</v>
      </c>
    </row>
    <row r="45" spans="1:25" x14ac:dyDescent="0.25">
      <c r="A45">
        <v>1</v>
      </c>
      <c r="B45" s="1">
        <v>1001</v>
      </c>
      <c r="C45" s="2" t="s">
        <v>25</v>
      </c>
      <c r="D45" s="2">
        <v>21241.53</v>
      </c>
      <c r="E45" s="2">
        <v>18245.03805555556</v>
      </c>
      <c r="F45" s="1">
        <v>36</v>
      </c>
      <c r="G45" s="1">
        <v>7</v>
      </c>
      <c r="H45" s="2" t="s">
        <v>26</v>
      </c>
      <c r="J45" s="2" t="s">
        <v>26</v>
      </c>
      <c r="K45" s="2" t="s">
        <v>26</v>
      </c>
      <c r="L45" s="2" t="s">
        <v>26</v>
      </c>
      <c r="M45" s="1">
        <v>2862</v>
      </c>
      <c r="N45" t="s">
        <v>30</v>
      </c>
      <c r="O45" s="5">
        <f>EDATE(O44,1)</f>
        <v>40909</v>
      </c>
      <c r="P45">
        <v>7</v>
      </c>
      <c r="Q45">
        <v>8</v>
      </c>
      <c r="R45" s="2">
        <v>428.07027777777773</v>
      </c>
      <c r="T45" s="2">
        <v>428.07027777777773</v>
      </c>
      <c r="U45" t="s">
        <v>29</v>
      </c>
      <c r="V45" t="s">
        <v>29</v>
      </c>
      <c r="W45">
        <v>8055.5555555555584</v>
      </c>
      <c r="X45">
        <v>277.77777777777777</v>
      </c>
      <c r="Y45">
        <v>42.627314814814831</v>
      </c>
    </row>
    <row r="46" spans="1:25" x14ac:dyDescent="0.25">
      <c r="A46">
        <v>1</v>
      </c>
      <c r="B46" s="1">
        <v>1001</v>
      </c>
      <c r="C46" s="2" t="s">
        <v>25</v>
      </c>
      <c r="D46" s="2">
        <v>21241.53</v>
      </c>
      <c r="E46" s="2">
        <v>17816.967777777783</v>
      </c>
      <c r="F46" s="1">
        <v>36</v>
      </c>
      <c r="G46" s="1">
        <v>8</v>
      </c>
      <c r="H46" s="2" t="s">
        <v>26</v>
      </c>
      <c r="J46" s="2" t="s">
        <v>26</v>
      </c>
      <c r="K46" s="2" t="s">
        <v>26</v>
      </c>
      <c r="L46" s="2" t="s">
        <v>26</v>
      </c>
      <c r="M46" s="1">
        <v>2862</v>
      </c>
      <c r="N46" t="s">
        <v>30</v>
      </c>
      <c r="O46" s="5">
        <f>EDATE(O45,1)</f>
        <v>40940</v>
      </c>
      <c r="P46">
        <v>8</v>
      </c>
      <c r="Q46">
        <v>9</v>
      </c>
      <c r="R46" s="2">
        <v>428.07027777777773</v>
      </c>
      <c r="T46" s="2">
        <v>428.07027777777773</v>
      </c>
      <c r="U46" t="s">
        <v>29</v>
      </c>
      <c r="V46" t="s">
        <v>29</v>
      </c>
      <c r="W46">
        <v>7777.777777777781</v>
      </c>
      <c r="X46">
        <v>277.77777777777777</v>
      </c>
      <c r="Y46">
        <v>41.157407407407426</v>
      </c>
    </row>
    <row r="47" spans="1:25" x14ac:dyDescent="0.25">
      <c r="A47">
        <v>1</v>
      </c>
      <c r="B47" s="1">
        <v>1001</v>
      </c>
      <c r="C47" s="2" t="s">
        <v>25</v>
      </c>
      <c r="D47" s="2">
        <v>21241.53</v>
      </c>
      <c r="E47" s="2">
        <v>17388.897500000006</v>
      </c>
      <c r="F47" s="1">
        <v>36</v>
      </c>
      <c r="G47" s="1">
        <v>9</v>
      </c>
      <c r="H47" s="2" t="s">
        <v>26</v>
      </c>
      <c r="J47" s="2" t="s">
        <v>26</v>
      </c>
      <c r="K47" s="2" t="s">
        <v>26</v>
      </c>
      <c r="L47" s="2" t="s">
        <v>26</v>
      </c>
      <c r="M47" s="1">
        <v>2862</v>
      </c>
      <c r="N47" t="s">
        <v>30</v>
      </c>
      <c r="O47" s="5">
        <f>EDATE(O46,1)</f>
        <v>40969</v>
      </c>
      <c r="P47">
        <v>9</v>
      </c>
      <c r="Q47">
        <v>10</v>
      </c>
      <c r="R47" s="2">
        <v>428.07027777777773</v>
      </c>
      <c r="T47" s="2">
        <v>428.07027777777773</v>
      </c>
      <c r="U47" t="s">
        <v>29</v>
      </c>
      <c r="V47" t="s">
        <v>29</v>
      </c>
      <c r="W47">
        <v>7500.0000000000036</v>
      </c>
      <c r="X47">
        <v>277.77777777777777</v>
      </c>
      <c r="Y47">
        <v>39.687500000000021</v>
      </c>
    </row>
    <row r="48" spans="1:25" x14ac:dyDescent="0.25">
      <c r="A48">
        <v>1</v>
      </c>
      <c r="B48" s="1">
        <v>1001</v>
      </c>
      <c r="C48" s="2" t="s">
        <v>25</v>
      </c>
      <c r="D48" s="2">
        <v>21241.53</v>
      </c>
      <c r="E48" s="2">
        <v>16960.827222222229</v>
      </c>
      <c r="F48" s="1">
        <v>36</v>
      </c>
      <c r="G48" s="1">
        <v>10</v>
      </c>
      <c r="H48" s="2" t="s">
        <v>26</v>
      </c>
      <c r="J48" s="2" t="s">
        <v>26</v>
      </c>
      <c r="K48" s="2" t="s">
        <v>26</v>
      </c>
      <c r="L48" s="2" t="s">
        <v>26</v>
      </c>
      <c r="M48" s="1">
        <v>2862</v>
      </c>
      <c r="N48" t="s">
        <v>30</v>
      </c>
      <c r="O48" s="5">
        <f>EDATE(O47,1)</f>
        <v>41000</v>
      </c>
      <c r="P48">
        <v>10</v>
      </c>
      <c r="Q48">
        <v>11</v>
      </c>
      <c r="R48" s="2">
        <v>428.07027777777773</v>
      </c>
      <c r="T48" s="2">
        <v>428.07027777777773</v>
      </c>
      <c r="U48" t="s">
        <v>29</v>
      </c>
      <c r="V48" t="s">
        <v>29</v>
      </c>
      <c r="W48">
        <v>7222.2222222222263</v>
      </c>
      <c r="X48">
        <v>277.77777777777777</v>
      </c>
      <c r="Y48">
        <v>38.217592592592617</v>
      </c>
    </row>
    <row r="49" spans="1:25" x14ac:dyDescent="0.25">
      <c r="A49">
        <v>1</v>
      </c>
      <c r="B49" s="1">
        <v>1001</v>
      </c>
      <c r="C49" s="2" t="s">
        <v>25</v>
      </c>
      <c r="D49" s="2">
        <v>21241.53</v>
      </c>
      <c r="E49" s="2">
        <v>16532.756944444453</v>
      </c>
      <c r="F49" s="1">
        <v>36</v>
      </c>
      <c r="G49" s="1">
        <v>11</v>
      </c>
      <c r="H49" s="2" t="s">
        <v>26</v>
      </c>
      <c r="J49" s="2" t="s">
        <v>26</v>
      </c>
      <c r="K49" s="2" t="s">
        <v>26</v>
      </c>
      <c r="L49" s="2" t="s">
        <v>26</v>
      </c>
      <c r="M49" s="1">
        <v>2862</v>
      </c>
      <c r="N49" t="s">
        <v>30</v>
      </c>
      <c r="O49" s="5">
        <f>EDATE(O48,1)</f>
        <v>41030</v>
      </c>
      <c r="P49">
        <v>11</v>
      </c>
      <c r="Q49">
        <v>12</v>
      </c>
      <c r="R49" s="2">
        <v>428.07027777777773</v>
      </c>
      <c r="T49" s="2">
        <v>428.07027777777773</v>
      </c>
      <c r="U49" t="s">
        <v>29</v>
      </c>
      <c r="V49" t="s">
        <v>29</v>
      </c>
      <c r="W49">
        <v>6944.4444444444489</v>
      </c>
      <c r="X49">
        <v>277.77777777777777</v>
      </c>
      <c r="Y49">
        <v>36.747685185185212</v>
      </c>
    </row>
    <row r="50" spans="1:25" x14ac:dyDescent="0.25">
      <c r="A50">
        <v>1</v>
      </c>
      <c r="B50" s="1">
        <v>1001</v>
      </c>
      <c r="C50" s="2" t="s">
        <v>25</v>
      </c>
      <c r="D50" s="2">
        <v>21241.53</v>
      </c>
      <c r="E50" s="2">
        <v>16104.686666666676</v>
      </c>
      <c r="F50" s="1">
        <v>36</v>
      </c>
      <c r="G50" s="1">
        <v>12</v>
      </c>
      <c r="H50" s="2" t="s">
        <v>26</v>
      </c>
      <c r="J50" s="2" t="s">
        <v>26</v>
      </c>
      <c r="K50" s="2" t="s">
        <v>26</v>
      </c>
      <c r="L50" s="2" t="s">
        <v>26</v>
      </c>
      <c r="M50" s="1">
        <v>2862</v>
      </c>
      <c r="N50" t="s">
        <v>30</v>
      </c>
      <c r="O50" s="5">
        <f>EDATE(O49,1)</f>
        <v>41061</v>
      </c>
      <c r="P50">
        <v>12</v>
      </c>
      <c r="Q50">
        <v>13</v>
      </c>
      <c r="R50" s="2">
        <v>428.07027777777773</v>
      </c>
      <c r="T50" s="2">
        <v>428.07027777777773</v>
      </c>
      <c r="U50" t="s">
        <v>29</v>
      </c>
      <c r="V50" t="s">
        <v>29</v>
      </c>
      <c r="W50">
        <v>6666.6666666666715</v>
      </c>
      <c r="X50">
        <v>277.77777777777777</v>
      </c>
      <c r="Y50">
        <v>35.277777777777807</v>
      </c>
    </row>
    <row r="51" spans="1:25" x14ac:dyDescent="0.25">
      <c r="A51">
        <v>1</v>
      </c>
      <c r="B51" s="1">
        <v>1001</v>
      </c>
      <c r="C51" s="2" t="s">
        <v>25</v>
      </c>
      <c r="D51" s="2">
        <v>21241.53</v>
      </c>
      <c r="E51" s="2">
        <v>15676.616388888899</v>
      </c>
      <c r="F51" s="1">
        <v>36</v>
      </c>
      <c r="G51" s="1">
        <v>13</v>
      </c>
      <c r="H51" s="2" t="s">
        <v>26</v>
      </c>
      <c r="J51" s="2" t="s">
        <v>26</v>
      </c>
      <c r="K51" s="2" t="s">
        <v>26</v>
      </c>
      <c r="L51" s="2" t="s">
        <v>26</v>
      </c>
      <c r="M51" s="1">
        <v>2862</v>
      </c>
      <c r="N51" t="s">
        <v>30</v>
      </c>
      <c r="O51" s="5">
        <f>EDATE(O50,1)</f>
        <v>41091</v>
      </c>
      <c r="P51">
        <v>13</v>
      </c>
      <c r="Q51">
        <v>14</v>
      </c>
      <c r="R51" s="2">
        <v>428.07027777777773</v>
      </c>
      <c r="T51" s="2">
        <v>428.07027777777773</v>
      </c>
      <c r="U51" t="s">
        <v>29</v>
      </c>
      <c r="V51" t="s">
        <v>29</v>
      </c>
      <c r="W51">
        <v>6388.8888888888941</v>
      </c>
      <c r="X51">
        <v>277.77777777777777</v>
      </c>
      <c r="Y51">
        <v>33.807870370370402</v>
      </c>
    </row>
    <row r="52" spans="1:25" x14ac:dyDescent="0.25">
      <c r="A52">
        <v>1</v>
      </c>
      <c r="B52" s="1">
        <v>1001</v>
      </c>
      <c r="C52" s="2" t="s">
        <v>25</v>
      </c>
      <c r="D52" s="2">
        <v>21241.53</v>
      </c>
      <c r="E52" s="2">
        <v>15248.546111111122</v>
      </c>
      <c r="F52" s="1">
        <v>36</v>
      </c>
      <c r="G52" s="1">
        <v>14</v>
      </c>
      <c r="H52" s="2" t="s">
        <v>26</v>
      </c>
      <c r="J52" s="2" t="s">
        <v>26</v>
      </c>
      <c r="K52" s="2" t="s">
        <v>26</v>
      </c>
      <c r="L52" s="2" t="s">
        <v>26</v>
      </c>
      <c r="M52" s="1">
        <v>2862</v>
      </c>
      <c r="N52" t="s">
        <v>30</v>
      </c>
      <c r="O52" s="5">
        <f>EDATE(O51,1)</f>
        <v>41122</v>
      </c>
      <c r="P52">
        <v>14</v>
      </c>
      <c r="Q52">
        <v>15</v>
      </c>
      <c r="R52" s="2">
        <v>428.07027777777773</v>
      </c>
      <c r="T52" s="2">
        <v>428.07027777777773</v>
      </c>
      <c r="U52" t="s">
        <v>29</v>
      </c>
      <c r="V52" t="s">
        <v>29</v>
      </c>
      <c r="W52">
        <v>6111.1111111111168</v>
      </c>
      <c r="X52">
        <v>277.77777777777777</v>
      </c>
      <c r="Y52">
        <v>32.337962962962997</v>
      </c>
    </row>
    <row r="53" spans="1:25" x14ac:dyDescent="0.25">
      <c r="A53">
        <v>1</v>
      </c>
      <c r="B53" s="1">
        <v>1001</v>
      </c>
      <c r="C53" s="2" t="s">
        <v>25</v>
      </c>
      <c r="D53" s="2">
        <v>21241.53</v>
      </c>
      <c r="E53" s="2">
        <v>14820.475833333345</v>
      </c>
      <c r="F53" s="1">
        <v>36</v>
      </c>
      <c r="G53" s="1">
        <v>15</v>
      </c>
      <c r="H53" s="2" t="s">
        <v>26</v>
      </c>
      <c r="J53" s="2" t="s">
        <v>26</v>
      </c>
      <c r="K53" s="2" t="s">
        <v>26</v>
      </c>
      <c r="L53" s="2" t="s">
        <v>26</v>
      </c>
      <c r="M53" s="1">
        <v>2862</v>
      </c>
      <c r="N53" t="s">
        <v>30</v>
      </c>
      <c r="O53" s="5">
        <f>EDATE(O52,1)</f>
        <v>41153</v>
      </c>
      <c r="P53">
        <v>15</v>
      </c>
      <c r="Q53">
        <v>16</v>
      </c>
      <c r="R53" s="2">
        <v>428.07027777777773</v>
      </c>
      <c r="T53" s="2">
        <v>428.07027777777773</v>
      </c>
      <c r="U53" t="s">
        <v>29</v>
      </c>
      <c r="V53" t="s">
        <v>29</v>
      </c>
      <c r="W53">
        <v>5833.3333333333394</v>
      </c>
      <c r="X53">
        <v>277.77777777777777</v>
      </c>
      <c r="Y53">
        <v>30.868055555555589</v>
      </c>
    </row>
    <row r="54" spans="1:25" x14ac:dyDescent="0.25">
      <c r="A54">
        <v>1</v>
      </c>
      <c r="B54" s="1">
        <v>1001</v>
      </c>
      <c r="C54" s="2" t="s">
        <v>25</v>
      </c>
      <c r="D54" s="2">
        <v>21241.53</v>
      </c>
      <c r="E54" s="2">
        <v>14392.405555555568</v>
      </c>
      <c r="F54" s="1">
        <v>36</v>
      </c>
      <c r="G54" s="1">
        <v>16</v>
      </c>
      <c r="H54" s="2" t="s">
        <v>26</v>
      </c>
      <c r="J54" s="2" t="s">
        <v>26</v>
      </c>
      <c r="K54" s="2" t="s">
        <v>26</v>
      </c>
      <c r="L54" s="2" t="s">
        <v>26</v>
      </c>
      <c r="M54" s="1">
        <v>2862</v>
      </c>
      <c r="N54" t="s">
        <v>30</v>
      </c>
      <c r="O54" s="5">
        <f>EDATE(O53,1)</f>
        <v>41183</v>
      </c>
      <c r="P54">
        <v>16</v>
      </c>
      <c r="Q54">
        <v>17</v>
      </c>
      <c r="R54" s="2">
        <v>428.07027777777773</v>
      </c>
      <c r="T54" s="2">
        <v>428.07027777777773</v>
      </c>
      <c r="U54" t="s">
        <v>29</v>
      </c>
      <c r="V54" t="s">
        <v>29</v>
      </c>
      <c r="W54">
        <v>5555.555555555562</v>
      </c>
      <c r="X54">
        <v>277.77777777777777</v>
      </c>
      <c r="Y54">
        <v>29.398148148148181</v>
      </c>
    </row>
    <row r="55" spans="1:25" x14ac:dyDescent="0.25">
      <c r="A55">
        <v>1</v>
      </c>
      <c r="B55" s="1">
        <v>1001</v>
      </c>
      <c r="C55" s="2" t="s">
        <v>25</v>
      </c>
      <c r="D55" s="2">
        <v>21241.53</v>
      </c>
      <c r="E55" s="2">
        <v>13964.335277777791</v>
      </c>
      <c r="F55" s="1">
        <v>36</v>
      </c>
      <c r="G55" s="1">
        <v>17</v>
      </c>
      <c r="H55" s="2" t="s">
        <v>26</v>
      </c>
      <c r="J55" s="2" t="s">
        <v>26</v>
      </c>
      <c r="K55" s="2" t="s">
        <v>26</v>
      </c>
      <c r="L55" s="2" t="s">
        <v>26</v>
      </c>
      <c r="M55" s="1">
        <v>2862</v>
      </c>
      <c r="N55" t="s">
        <v>30</v>
      </c>
      <c r="O55" s="5">
        <f>EDATE(O54,1)</f>
        <v>41214</v>
      </c>
      <c r="P55">
        <v>17</v>
      </c>
      <c r="Q55">
        <v>18</v>
      </c>
      <c r="R55" s="2">
        <v>428.07027777777773</v>
      </c>
      <c r="T55" s="2">
        <v>428.07027777777773</v>
      </c>
      <c r="U55" t="s">
        <v>29</v>
      </c>
      <c r="V55" t="s">
        <v>29</v>
      </c>
      <c r="W55">
        <v>5277.7777777777846</v>
      </c>
      <c r="X55">
        <v>277.77777777777777</v>
      </c>
      <c r="Y55">
        <v>27.928240740740776</v>
      </c>
    </row>
    <row r="56" spans="1:25" x14ac:dyDescent="0.25">
      <c r="A56">
        <v>1</v>
      </c>
      <c r="B56" s="1">
        <v>1001</v>
      </c>
      <c r="C56" s="2" t="s">
        <v>25</v>
      </c>
      <c r="D56" s="2">
        <v>21241.53</v>
      </c>
      <c r="E56" s="2">
        <v>13536.265000000014</v>
      </c>
      <c r="F56" s="1">
        <v>36</v>
      </c>
      <c r="G56" s="1">
        <v>18</v>
      </c>
      <c r="H56" s="2" t="s">
        <v>26</v>
      </c>
      <c r="J56" s="2" t="s">
        <v>26</v>
      </c>
      <c r="K56" s="2" t="s">
        <v>26</v>
      </c>
      <c r="L56" s="2" t="s">
        <v>26</v>
      </c>
      <c r="M56" s="1">
        <v>2862</v>
      </c>
      <c r="N56" t="s">
        <v>30</v>
      </c>
      <c r="O56" s="5">
        <f>EDATE(O55,1)</f>
        <v>41244</v>
      </c>
      <c r="P56">
        <v>18</v>
      </c>
      <c r="Q56">
        <v>19</v>
      </c>
      <c r="R56" s="2">
        <v>428.07027777777773</v>
      </c>
      <c r="T56" s="2">
        <v>428.07027777777773</v>
      </c>
      <c r="U56" t="s">
        <v>29</v>
      </c>
      <c r="V56" t="s">
        <v>29</v>
      </c>
      <c r="W56">
        <v>5000.0000000000073</v>
      </c>
      <c r="X56">
        <v>277.77777777777777</v>
      </c>
      <c r="Y56">
        <v>26.458333333333371</v>
      </c>
    </row>
    <row r="57" spans="1:25" x14ac:dyDescent="0.25">
      <c r="A57">
        <v>1</v>
      </c>
      <c r="B57" s="1">
        <v>1001</v>
      </c>
      <c r="C57" s="2" t="s">
        <v>25</v>
      </c>
      <c r="D57" s="2">
        <v>21241.53</v>
      </c>
      <c r="E57" s="2">
        <v>13108.194722222237</v>
      </c>
      <c r="F57" s="1">
        <v>36</v>
      </c>
      <c r="G57" s="1">
        <v>19</v>
      </c>
      <c r="H57" s="2" t="s">
        <v>26</v>
      </c>
      <c r="J57" s="2" t="s">
        <v>26</v>
      </c>
      <c r="K57" s="2" t="s">
        <v>26</v>
      </c>
      <c r="L57" s="2" t="s">
        <v>26</v>
      </c>
      <c r="M57" s="1">
        <v>2862</v>
      </c>
      <c r="N57" t="s">
        <v>30</v>
      </c>
      <c r="O57" s="5">
        <f>EDATE(O56,1)</f>
        <v>41275</v>
      </c>
      <c r="P57">
        <v>19</v>
      </c>
      <c r="Q57">
        <v>20</v>
      </c>
      <c r="R57" s="2">
        <v>428.07027777777773</v>
      </c>
      <c r="T57" s="2">
        <v>428.07027777777773</v>
      </c>
      <c r="U57" t="s">
        <v>29</v>
      </c>
      <c r="V57" t="s">
        <v>29</v>
      </c>
      <c r="W57">
        <v>4722.2222222222299</v>
      </c>
      <c r="X57">
        <v>277.77777777777777</v>
      </c>
      <c r="Y57">
        <v>24.988425925925966</v>
      </c>
    </row>
    <row r="58" spans="1:25" x14ac:dyDescent="0.25">
      <c r="A58">
        <v>1</v>
      </c>
      <c r="B58" s="1">
        <v>1001</v>
      </c>
      <c r="C58" s="2" t="s">
        <v>25</v>
      </c>
      <c r="D58" s="2">
        <v>21241.53</v>
      </c>
      <c r="E58" s="2">
        <v>12680.12444444446</v>
      </c>
      <c r="F58" s="1">
        <v>36</v>
      </c>
      <c r="G58" s="1">
        <v>20</v>
      </c>
      <c r="H58" s="2" t="s">
        <v>26</v>
      </c>
      <c r="J58" s="2" t="s">
        <v>26</v>
      </c>
      <c r="K58" s="2" t="s">
        <v>26</v>
      </c>
      <c r="L58" s="2" t="s">
        <v>26</v>
      </c>
      <c r="M58" s="1">
        <v>2862</v>
      </c>
      <c r="N58" t="s">
        <v>30</v>
      </c>
      <c r="O58" s="5">
        <f>EDATE(O57,1)</f>
        <v>41306</v>
      </c>
      <c r="P58">
        <v>20</v>
      </c>
      <c r="Q58">
        <v>21</v>
      </c>
      <c r="R58" s="2">
        <v>428.07027777777773</v>
      </c>
      <c r="T58" s="2">
        <v>428.07027777777773</v>
      </c>
      <c r="U58" t="s">
        <v>29</v>
      </c>
      <c r="V58" t="s">
        <v>29</v>
      </c>
      <c r="W58">
        <v>4444.4444444444525</v>
      </c>
      <c r="X58">
        <v>277.77777777777777</v>
      </c>
      <c r="Y58">
        <v>23.518518518518562</v>
      </c>
    </row>
    <row r="59" spans="1:25" x14ac:dyDescent="0.25">
      <c r="A59">
        <v>1</v>
      </c>
      <c r="B59" s="1">
        <v>1001</v>
      </c>
      <c r="C59" s="2" t="s">
        <v>25</v>
      </c>
      <c r="D59" s="2">
        <v>21241.53</v>
      </c>
      <c r="E59" s="2">
        <v>12252.054166666683</v>
      </c>
      <c r="F59" s="1">
        <v>36</v>
      </c>
      <c r="G59" s="1">
        <v>21</v>
      </c>
      <c r="H59" s="2" t="s">
        <v>26</v>
      </c>
      <c r="J59" s="2" t="s">
        <v>26</v>
      </c>
      <c r="K59" s="2" t="s">
        <v>26</v>
      </c>
      <c r="L59" s="2" t="s">
        <v>26</v>
      </c>
      <c r="M59" s="1">
        <v>2862</v>
      </c>
      <c r="N59" t="s">
        <v>30</v>
      </c>
      <c r="O59" s="5">
        <f>EDATE(O58,1)</f>
        <v>41334</v>
      </c>
      <c r="P59">
        <v>21</v>
      </c>
      <c r="Q59">
        <v>22</v>
      </c>
      <c r="R59" s="2">
        <v>428.07027777777773</v>
      </c>
      <c r="T59" s="2">
        <v>428.07027777777773</v>
      </c>
      <c r="U59" t="s">
        <v>29</v>
      </c>
      <c r="V59" t="s">
        <v>29</v>
      </c>
      <c r="W59">
        <v>4166.6666666666752</v>
      </c>
      <c r="X59">
        <v>277.77777777777777</v>
      </c>
      <c r="Y59">
        <v>22.048611111111157</v>
      </c>
    </row>
    <row r="60" spans="1:25" x14ac:dyDescent="0.25">
      <c r="A60">
        <v>1</v>
      </c>
      <c r="B60" s="1">
        <v>1001</v>
      </c>
      <c r="C60" s="2" t="s">
        <v>25</v>
      </c>
      <c r="D60" s="2">
        <v>21241.53</v>
      </c>
      <c r="E60" s="2">
        <v>11823.983888888906</v>
      </c>
      <c r="F60" s="1">
        <v>36</v>
      </c>
      <c r="G60" s="1">
        <v>22</v>
      </c>
      <c r="H60" s="2" t="s">
        <v>26</v>
      </c>
      <c r="J60" s="2" t="s">
        <v>26</v>
      </c>
      <c r="K60" s="2" t="s">
        <v>26</v>
      </c>
      <c r="L60" s="2" t="s">
        <v>26</v>
      </c>
      <c r="M60" s="1">
        <v>2862</v>
      </c>
      <c r="N60" t="s">
        <v>30</v>
      </c>
      <c r="O60" s="5">
        <f>EDATE(O59,1)</f>
        <v>41365</v>
      </c>
      <c r="P60">
        <v>22</v>
      </c>
      <c r="Q60">
        <v>23</v>
      </c>
      <c r="R60" s="2">
        <v>428.07027777777773</v>
      </c>
      <c r="T60" s="2">
        <v>428.07027777777773</v>
      </c>
      <c r="U60" t="s">
        <v>29</v>
      </c>
      <c r="V60" t="s">
        <v>29</v>
      </c>
      <c r="W60">
        <v>3888.8888888888973</v>
      </c>
      <c r="X60">
        <v>277.77777777777777</v>
      </c>
      <c r="Y60">
        <v>20.578703703703749</v>
      </c>
    </row>
    <row r="61" spans="1:25" x14ac:dyDescent="0.25">
      <c r="A61">
        <v>1</v>
      </c>
      <c r="B61" s="1">
        <v>1001</v>
      </c>
      <c r="C61" s="2" t="s">
        <v>25</v>
      </c>
      <c r="D61" s="2">
        <v>21241.53</v>
      </c>
      <c r="E61" s="2">
        <v>11395.913611111129</v>
      </c>
      <c r="F61" s="1">
        <v>36</v>
      </c>
      <c r="G61" s="1">
        <v>23</v>
      </c>
      <c r="H61" s="2" t="s">
        <v>26</v>
      </c>
      <c r="J61" s="2" t="s">
        <v>26</v>
      </c>
      <c r="K61" s="2" t="s">
        <v>26</v>
      </c>
      <c r="L61" s="2" t="s">
        <v>26</v>
      </c>
      <c r="M61" s="1">
        <v>2862</v>
      </c>
      <c r="N61" t="s">
        <v>30</v>
      </c>
      <c r="O61" s="5">
        <f>EDATE(O60,1)</f>
        <v>41395</v>
      </c>
      <c r="P61">
        <v>23</v>
      </c>
      <c r="Q61">
        <v>24</v>
      </c>
      <c r="R61" s="2">
        <v>428.07027777777773</v>
      </c>
      <c r="T61" s="2">
        <v>428.07027777777773</v>
      </c>
      <c r="U61" t="s">
        <v>29</v>
      </c>
      <c r="V61" t="s">
        <v>29</v>
      </c>
      <c r="W61">
        <v>3611.1111111111195</v>
      </c>
      <c r="X61">
        <v>277.77777777777777</v>
      </c>
      <c r="Y61">
        <v>19.10879629629634</v>
      </c>
    </row>
    <row r="62" spans="1:25" x14ac:dyDescent="0.25">
      <c r="A62">
        <v>1</v>
      </c>
      <c r="B62" s="1">
        <v>1001</v>
      </c>
      <c r="C62" s="2" t="s">
        <v>25</v>
      </c>
      <c r="D62" s="2">
        <v>21241.53</v>
      </c>
      <c r="E62" s="2">
        <v>10967.843333333352</v>
      </c>
      <c r="F62" s="1">
        <v>36</v>
      </c>
      <c r="G62" s="1">
        <v>24</v>
      </c>
      <c r="H62" s="2" t="s">
        <v>26</v>
      </c>
      <c r="J62" s="2" t="s">
        <v>26</v>
      </c>
      <c r="K62" s="2" t="s">
        <v>26</v>
      </c>
      <c r="L62" s="2" t="s">
        <v>26</v>
      </c>
      <c r="M62" s="1">
        <v>2862</v>
      </c>
      <c r="N62" t="s">
        <v>30</v>
      </c>
      <c r="O62" s="5">
        <f>EDATE(O61,1)</f>
        <v>41426</v>
      </c>
      <c r="P62">
        <v>24</v>
      </c>
      <c r="Q62">
        <v>25</v>
      </c>
      <c r="R62" s="2">
        <v>428.07027777777773</v>
      </c>
      <c r="T62" s="2">
        <v>428.07027777777773</v>
      </c>
      <c r="U62" t="s">
        <v>29</v>
      </c>
      <c r="V62" t="s">
        <v>29</v>
      </c>
      <c r="W62">
        <v>3333.3333333333417</v>
      </c>
      <c r="X62">
        <v>277.77777777777777</v>
      </c>
      <c r="Y62">
        <v>17.638888888888932</v>
      </c>
    </row>
    <row r="63" spans="1:25" x14ac:dyDescent="0.25">
      <c r="A63">
        <v>1</v>
      </c>
      <c r="B63" s="1">
        <v>1001</v>
      </c>
      <c r="C63" s="2" t="s">
        <v>25</v>
      </c>
      <c r="D63" s="2">
        <v>21241.53</v>
      </c>
      <c r="E63" s="2">
        <v>10539.773055555575</v>
      </c>
      <c r="F63" s="1">
        <v>36</v>
      </c>
      <c r="G63" s="1">
        <v>25</v>
      </c>
      <c r="H63" s="2" t="s">
        <v>26</v>
      </c>
      <c r="J63" s="2" t="s">
        <v>26</v>
      </c>
      <c r="K63" s="2" t="s">
        <v>26</v>
      </c>
      <c r="L63" s="2" t="s">
        <v>26</v>
      </c>
      <c r="M63" s="1">
        <v>2862</v>
      </c>
      <c r="N63" t="s">
        <v>30</v>
      </c>
      <c r="O63" s="5">
        <f>EDATE(O62,1)</f>
        <v>41456</v>
      </c>
      <c r="P63">
        <v>25</v>
      </c>
      <c r="Q63">
        <v>26</v>
      </c>
      <c r="R63" s="2">
        <v>428.07027777777773</v>
      </c>
      <c r="T63" s="2">
        <v>428.07027777777773</v>
      </c>
      <c r="U63" t="s">
        <v>29</v>
      </c>
      <c r="V63" t="s">
        <v>29</v>
      </c>
      <c r="W63">
        <v>3055.5555555555638</v>
      </c>
      <c r="X63">
        <v>277.77777777777777</v>
      </c>
      <c r="Y63">
        <v>16.168981481481527</v>
      </c>
    </row>
    <row r="64" spans="1:25" x14ac:dyDescent="0.25">
      <c r="A64">
        <v>1</v>
      </c>
      <c r="B64" s="1">
        <v>1001</v>
      </c>
      <c r="C64" s="2" t="s">
        <v>25</v>
      </c>
      <c r="D64" s="2">
        <v>21241.53</v>
      </c>
      <c r="E64" s="2">
        <v>10111.702777777798</v>
      </c>
      <c r="F64" s="1">
        <v>36</v>
      </c>
      <c r="G64" s="1">
        <v>26</v>
      </c>
      <c r="H64" s="2" t="s">
        <v>26</v>
      </c>
      <c r="J64" s="2" t="s">
        <v>26</v>
      </c>
      <c r="K64" s="2" t="s">
        <v>26</v>
      </c>
      <c r="L64" s="2" t="s">
        <v>26</v>
      </c>
      <c r="M64" s="1">
        <v>2862</v>
      </c>
      <c r="N64" t="s">
        <v>30</v>
      </c>
      <c r="O64" s="5">
        <f>EDATE(O63,1)</f>
        <v>41487</v>
      </c>
      <c r="P64">
        <v>26</v>
      </c>
      <c r="Q64">
        <v>27</v>
      </c>
      <c r="R64" s="2">
        <v>428.07027777777773</v>
      </c>
      <c r="T64" s="2">
        <v>428.07027777777773</v>
      </c>
      <c r="U64" t="s">
        <v>29</v>
      </c>
      <c r="V64" t="s">
        <v>29</v>
      </c>
      <c r="W64">
        <v>2777.777777777786</v>
      </c>
      <c r="X64">
        <v>277.77777777777777</v>
      </c>
      <c r="Y64">
        <v>14.699074074074119</v>
      </c>
    </row>
    <row r="65" spans="1:25" x14ac:dyDescent="0.25">
      <c r="A65">
        <v>1</v>
      </c>
      <c r="B65" s="1">
        <v>1001</v>
      </c>
      <c r="C65" s="2" t="s">
        <v>25</v>
      </c>
      <c r="D65" s="2">
        <v>21241.53</v>
      </c>
      <c r="E65" s="2">
        <v>9683.6325000000215</v>
      </c>
      <c r="F65" s="1">
        <v>36</v>
      </c>
      <c r="G65" s="1">
        <v>27</v>
      </c>
      <c r="H65" s="2" t="s">
        <v>26</v>
      </c>
      <c r="J65" s="2" t="s">
        <v>26</v>
      </c>
      <c r="K65" s="2" t="s">
        <v>26</v>
      </c>
      <c r="L65" s="2" t="s">
        <v>26</v>
      </c>
      <c r="M65" s="1">
        <v>2862</v>
      </c>
      <c r="N65" t="s">
        <v>30</v>
      </c>
      <c r="O65" s="5">
        <f>EDATE(O64,1)</f>
        <v>41518</v>
      </c>
      <c r="P65">
        <v>27</v>
      </c>
      <c r="Q65">
        <v>28</v>
      </c>
      <c r="R65" s="2">
        <v>428.07027777777773</v>
      </c>
      <c r="T65" s="2">
        <v>428.07027777777773</v>
      </c>
      <c r="U65" t="s">
        <v>29</v>
      </c>
      <c r="V65" t="s">
        <v>29</v>
      </c>
      <c r="W65">
        <v>2500.0000000000082</v>
      </c>
      <c r="X65">
        <v>277.77777777777777</v>
      </c>
      <c r="Y65">
        <v>13.229166666666709</v>
      </c>
    </row>
    <row r="66" spans="1:25" x14ac:dyDescent="0.25">
      <c r="A66">
        <v>1</v>
      </c>
      <c r="B66" s="1">
        <v>1001</v>
      </c>
      <c r="C66" s="2" t="s">
        <v>25</v>
      </c>
      <c r="D66" s="2">
        <v>21241.53</v>
      </c>
      <c r="E66" s="2">
        <v>9255.5622222222446</v>
      </c>
      <c r="F66" s="1">
        <v>36</v>
      </c>
      <c r="G66" s="1">
        <v>28</v>
      </c>
      <c r="H66" s="2" t="s">
        <v>26</v>
      </c>
      <c r="J66" s="2" t="s">
        <v>26</v>
      </c>
      <c r="K66" s="2" t="s">
        <v>26</v>
      </c>
      <c r="L66" s="2" t="s">
        <v>26</v>
      </c>
      <c r="M66" s="1">
        <v>2862</v>
      </c>
      <c r="N66" t="s">
        <v>30</v>
      </c>
      <c r="O66" s="5">
        <f>EDATE(O65,1)</f>
        <v>41548</v>
      </c>
      <c r="P66">
        <v>28</v>
      </c>
      <c r="Q66">
        <v>29</v>
      </c>
      <c r="R66" s="2">
        <v>428.07027777777773</v>
      </c>
      <c r="T66" s="2">
        <v>428.07027777777773</v>
      </c>
      <c r="U66" t="s">
        <v>29</v>
      </c>
      <c r="V66" t="s">
        <v>29</v>
      </c>
      <c r="W66">
        <v>2222.2222222222304</v>
      </c>
      <c r="X66">
        <v>277.77777777777777</v>
      </c>
      <c r="Y66">
        <v>11.759259259259302</v>
      </c>
    </row>
    <row r="67" spans="1:25" x14ac:dyDescent="0.25">
      <c r="A67">
        <v>1</v>
      </c>
      <c r="B67" s="1">
        <v>1001</v>
      </c>
      <c r="C67" s="2" t="s">
        <v>25</v>
      </c>
      <c r="D67" s="2">
        <v>21241.53</v>
      </c>
      <c r="E67" s="2">
        <v>8827.4919444444677</v>
      </c>
      <c r="F67" s="1">
        <v>36</v>
      </c>
      <c r="G67" s="1">
        <v>29</v>
      </c>
      <c r="H67" s="2" t="s">
        <v>26</v>
      </c>
      <c r="J67" s="2" t="s">
        <v>26</v>
      </c>
      <c r="K67" s="2" t="s">
        <v>26</v>
      </c>
      <c r="L67" s="2" t="s">
        <v>26</v>
      </c>
      <c r="M67" s="1">
        <v>2862</v>
      </c>
      <c r="N67" t="s">
        <v>30</v>
      </c>
      <c r="O67" s="5">
        <f>EDATE(O66,1)</f>
        <v>41579</v>
      </c>
      <c r="P67">
        <v>29</v>
      </c>
      <c r="Q67">
        <v>30</v>
      </c>
      <c r="R67" s="2">
        <v>428.07027777777773</v>
      </c>
      <c r="T67" s="2">
        <v>428.07027777777773</v>
      </c>
      <c r="U67" t="s">
        <v>29</v>
      </c>
      <c r="V67" t="s">
        <v>29</v>
      </c>
      <c r="W67">
        <v>1944.4444444444525</v>
      </c>
      <c r="X67">
        <v>277.77777777777777</v>
      </c>
      <c r="Y67">
        <v>10.289351851851896</v>
      </c>
    </row>
    <row r="68" spans="1:25" x14ac:dyDescent="0.25">
      <c r="A68">
        <v>1</v>
      </c>
      <c r="B68" s="1">
        <v>1001</v>
      </c>
      <c r="C68" s="2" t="s">
        <v>25</v>
      </c>
      <c r="D68" s="2">
        <v>21241.53</v>
      </c>
      <c r="E68" s="2">
        <v>8399.4216666666907</v>
      </c>
      <c r="F68" s="1">
        <v>36</v>
      </c>
      <c r="G68" s="1">
        <v>30</v>
      </c>
      <c r="H68" s="2" t="s">
        <v>26</v>
      </c>
      <c r="J68" s="2" t="s">
        <v>26</v>
      </c>
      <c r="K68" s="2" t="s">
        <v>26</v>
      </c>
      <c r="L68" s="2" t="s">
        <v>26</v>
      </c>
      <c r="M68" s="1">
        <v>2862</v>
      </c>
      <c r="N68" t="s">
        <v>30</v>
      </c>
      <c r="O68" s="5">
        <f>EDATE(O67,1)</f>
        <v>41609</v>
      </c>
      <c r="P68">
        <v>30</v>
      </c>
      <c r="Q68">
        <v>31</v>
      </c>
      <c r="R68" s="2">
        <v>428.07027777777773</v>
      </c>
      <c r="T68" s="2">
        <v>428.07027777777773</v>
      </c>
      <c r="U68" t="s">
        <v>29</v>
      </c>
      <c r="V68" t="s">
        <v>29</v>
      </c>
      <c r="W68">
        <v>1666.6666666666747</v>
      </c>
      <c r="X68">
        <v>277.77777777777777</v>
      </c>
      <c r="Y68">
        <v>8.8194444444444873</v>
      </c>
    </row>
    <row r="69" spans="1:25" x14ac:dyDescent="0.25">
      <c r="A69">
        <v>1</v>
      </c>
      <c r="B69" s="1">
        <v>1001</v>
      </c>
      <c r="C69" s="2" t="s">
        <v>25</v>
      </c>
      <c r="D69" s="2">
        <v>21241.53</v>
      </c>
      <c r="E69" s="2">
        <v>7971.3513888889129</v>
      </c>
      <c r="F69" s="1">
        <v>36</v>
      </c>
      <c r="G69" s="1">
        <v>31</v>
      </c>
      <c r="H69" s="2" t="s">
        <v>26</v>
      </c>
      <c r="J69" s="2" t="s">
        <v>26</v>
      </c>
      <c r="K69" s="2" t="s">
        <v>26</v>
      </c>
      <c r="L69" s="2" t="s">
        <v>26</v>
      </c>
      <c r="M69" s="1">
        <v>2862</v>
      </c>
      <c r="N69" t="s">
        <v>30</v>
      </c>
      <c r="O69" s="5">
        <f>EDATE(O68,1)</f>
        <v>41640</v>
      </c>
      <c r="P69">
        <v>31</v>
      </c>
      <c r="Q69">
        <v>32</v>
      </c>
      <c r="R69" s="2">
        <v>428.07027777777773</v>
      </c>
      <c r="T69" s="2">
        <v>428.07027777777773</v>
      </c>
      <c r="U69" t="s">
        <v>29</v>
      </c>
      <c r="V69" t="s">
        <v>29</v>
      </c>
      <c r="W69">
        <v>1388.8888888888969</v>
      </c>
      <c r="X69">
        <v>277.77777777777777</v>
      </c>
      <c r="Y69">
        <v>7.3495370370370798</v>
      </c>
    </row>
    <row r="70" spans="1:25" x14ac:dyDescent="0.25">
      <c r="A70">
        <v>1</v>
      </c>
      <c r="B70" s="1">
        <v>1001</v>
      </c>
      <c r="C70" s="2" t="s">
        <v>25</v>
      </c>
      <c r="D70" s="2">
        <v>21241.53</v>
      </c>
      <c r="E70" s="2">
        <v>7543.281111111135</v>
      </c>
      <c r="F70" s="1">
        <v>36</v>
      </c>
      <c r="G70" s="1">
        <v>32</v>
      </c>
      <c r="H70" s="2" t="s">
        <v>26</v>
      </c>
      <c r="J70" s="2" t="s">
        <v>26</v>
      </c>
      <c r="K70" s="2" t="s">
        <v>26</v>
      </c>
      <c r="L70" s="2" t="s">
        <v>26</v>
      </c>
      <c r="M70" s="1">
        <v>2862</v>
      </c>
      <c r="N70" t="s">
        <v>30</v>
      </c>
      <c r="O70" s="5">
        <f>EDATE(O69,1)</f>
        <v>41671</v>
      </c>
      <c r="P70">
        <v>32</v>
      </c>
      <c r="Q70">
        <v>33</v>
      </c>
      <c r="R70" s="2">
        <v>428.07027777777773</v>
      </c>
      <c r="T70" s="2">
        <v>428.07027777777773</v>
      </c>
      <c r="U70" t="s">
        <v>29</v>
      </c>
      <c r="V70" t="s">
        <v>29</v>
      </c>
      <c r="W70">
        <v>1111.111111111119</v>
      </c>
      <c r="X70">
        <v>277.77777777777777</v>
      </c>
      <c r="Y70">
        <v>5.8796296296296715</v>
      </c>
    </row>
    <row r="71" spans="1:25" x14ac:dyDescent="0.25">
      <c r="A71">
        <v>1</v>
      </c>
      <c r="B71" s="1">
        <v>1001</v>
      </c>
      <c r="C71" s="2" t="s">
        <v>25</v>
      </c>
      <c r="D71" s="2">
        <v>21241.53</v>
      </c>
      <c r="E71" s="2">
        <v>7115.2108333333572</v>
      </c>
      <c r="F71" s="1">
        <v>36</v>
      </c>
      <c r="G71" s="1">
        <v>33</v>
      </c>
      <c r="H71" s="2" t="s">
        <v>26</v>
      </c>
      <c r="J71" s="2" t="s">
        <v>26</v>
      </c>
      <c r="K71" s="2" t="s">
        <v>26</v>
      </c>
      <c r="L71" s="2" t="s">
        <v>26</v>
      </c>
      <c r="M71" s="1">
        <v>2862</v>
      </c>
      <c r="N71" t="s">
        <v>30</v>
      </c>
      <c r="O71" s="5">
        <f>EDATE(O70,1)</f>
        <v>41699</v>
      </c>
      <c r="P71">
        <v>33</v>
      </c>
      <c r="Q71">
        <v>34</v>
      </c>
      <c r="R71" s="2">
        <v>428.07027777777773</v>
      </c>
      <c r="T71" s="2">
        <v>428.07027777777773</v>
      </c>
      <c r="U71" t="s">
        <v>29</v>
      </c>
      <c r="V71" t="s">
        <v>29</v>
      </c>
      <c r="W71">
        <v>833.33333333334122</v>
      </c>
      <c r="X71">
        <v>277.77777777777777</v>
      </c>
      <c r="Y71">
        <v>4.4097222222222641</v>
      </c>
    </row>
    <row r="72" spans="1:25" x14ac:dyDescent="0.25">
      <c r="A72">
        <v>1</v>
      </c>
      <c r="B72" s="1">
        <v>1001</v>
      </c>
      <c r="C72" s="2" t="s">
        <v>25</v>
      </c>
      <c r="D72" s="2">
        <v>21241.53</v>
      </c>
      <c r="E72" s="2">
        <v>6687.1405555555793</v>
      </c>
      <c r="F72" s="1">
        <v>36</v>
      </c>
      <c r="G72" s="1">
        <v>34</v>
      </c>
      <c r="H72" s="2" t="s">
        <v>26</v>
      </c>
      <c r="J72" s="2" t="s">
        <v>26</v>
      </c>
      <c r="K72" s="2" t="s">
        <v>26</v>
      </c>
      <c r="L72" s="2" t="s">
        <v>26</v>
      </c>
      <c r="M72" s="1">
        <v>2862</v>
      </c>
      <c r="N72" t="s">
        <v>30</v>
      </c>
      <c r="O72" s="5">
        <f>EDATE(O71,1)</f>
        <v>41730</v>
      </c>
      <c r="P72">
        <v>34</v>
      </c>
      <c r="Q72">
        <v>35</v>
      </c>
      <c r="R72" s="2">
        <v>428.07027777777773</v>
      </c>
      <c r="T72" s="2">
        <v>428.07027777777773</v>
      </c>
      <c r="U72" t="s">
        <v>29</v>
      </c>
      <c r="V72" t="s">
        <v>29</v>
      </c>
      <c r="W72">
        <v>555.55555555556339</v>
      </c>
      <c r="X72">
        <v>277.77777777777777</v>
      </c>
      <c r="Y72">
        <v>2.9398148148148562</v>
      </c>
    </row>
    <row r="73" spans="1:25" x14ac:dyDescent="0.25">
      <c r="A73">
        <v>1</v>
      </c>
      <c r="B73" s="1">
        <v>1001</v>
      </c>
      <c r="C73" s="2" t="s">
        <v>25</v>
      </c>
      <c r="D73" s="2">
        <v>21241.53</v>
      </c>
      <c r="E73" s="2">
        <v>6259.0702777778015</v>
      </c>
      <c r="F73" s="1">
        <v>36</v>
      </c>
      <c r="G73" s="1">
        <v>35</v>
      </c>
      <c r="H73" s="2" t="s">
        <v>26</v>
      </c>
      <c r="J73" s="2" t="s">
        <v>26</v>
      </c>
      <c r="K73" s="2" t="s">
        <v>26</v>
      </c>
      <c r="L73" s="2" t="s">
        <v>26</v>
      </c>
      <c r="M73" s="1">
        <v>2862</v>
      </c>
      <c r="N73" t="s">
        <v>30</v>
      </c>
      <c r="O73" s="5">
        <f>EDATE(O72,1)</f>
        <v>41760</v>
      </c>
      <c r="P73">
        <v>35</v>
      </c>
      <c r="Q73">
        <v>36</v>
      </c>
      <c r="R73" s="2">
        <v>428.07027777777773</v>
      </c>
      <c r="T73" s="2">
        <v>428.07027777777773</v>
      </c>
      <c r="U73" t="s">
        <v>29</v>
      </c>
      <c r="V73" t="s">
        <v>29</v>
      </c>
      <c r="W73">
        <v>277.77777777778562</v>
      </c>
      <c r="X73">
        <v>277.77777777777777</v>
      </c>
      <c r="Y73">
        <v>1.469907407407449</v>
      </c>
    </row>
    <row r="74" spans="1:25" x14ac:dyDescent="0.25">
      <c r="A74">
        <v>1</v>
      </c>
      <c r="B74" s="1">
        <v>1001</v>
      </c>
      <c r="C74" s="2" t="s">
        <v>25</v>
      </c>
      <c r="D74" s="2">
        <v>21241.53</v>
      </c>
      <c r="E74" s="2">
        <v>5831.0000000000236</v>
      </c>
      <c r="F74" s="1">
        <v>36</v>
      </c>
      <c r="G74" s="1">
        <v>36</v>
      </c>
      <c r="H74" s="2" t="s">
        <v>26</v>
      </c>
      <c r="J74" s="2" t="s">
        <v>26</v>
      </c>
      <c r="K74" s="2" t="s">
        <v>26</v>
      </c>
      <c r="L74" s="2" t="s">
        <v>26</v>
      </c>
      <c r="M74" s="1">
        <v>2862</v>
      </c>
      <c r="N74" t="s">
        <v>30</v>
      </c>
      <c r="O74" s="5">
        <f>EDATE(O73,1)</f>
        <v>41791</v>
      </c>
      <c r="P74">
        <v>36</v>
      </c>
      <c r="Q74">
        <v>37</v>
      </c>
      <c r="R74" s="2">
        <v>428.07027777777773</v>
      </c>
      <c r="T74" s="2">
        <v>428.07027777777773</v>
      </c>
      <c r="U74" t="s">
        <v>29</v>
      </c>
      <c r="V74" t="s">
        <v>29</v>
      </c>
      <c r="W74">
        <v>7.8443918027915061E-12</v>
      </c>
      <c r="X74">
        <v>277.77777777777777</v>
      </c>
      <c r="Y74">
        <v>4.150990662310505E-14</v>
      </c>
    </row>
    <row r="75" spans="1:25" x14ac:dyDescent="0.25">
      <c r="A75">
        <v>1</v>
      </c>
      <c r="B75" s="1">
        <v>1001</v>
      </c>
      <c r="C75" s="2" t="s">
        <v>25</v>
      </c>
      <c r="D75" s="2">
        <v>21241.53</v>
      </c>
      <c r="E75" s="2">
        <v>5402.9297222222458</v>
      </c>
      <c r="F75" s="1">
        <v>36</v>
      </c>
      <c r="G75" s="1">
        <v>37</v>
      </c>
      <c r="H75" s="2" t="s">
        <v>26</v>
      </c>
      <c r="J75" s="2" t="s">
        <v>26</v>
      </c>
      <c r="K75" s="2">
        <v>10000</v>
      </c>
      <c r="L75" s="2" t="s">
        <v>26</v>
      </c>
      <c r="M75" s="1">
        <v>2862</v>
      </c>
      <c r="N75" t="s">
        <v>30</v>
      </c>
      <c r="O75" s="5">
        <f>EDATE(O74,1)</f>
        <v>41821</v>
      </c>
      <c r="P75">
        <v>37</v>
      </c>
      <c r="Q75">
        <v>999</v>
      </c>
      <c r="R75" s="2">
        <v>0</v>
      </c>
      <c r="T75" s="2">
        <v>0</v>
      </c>
      <c r="U75" t="s">
        <v>29</v>
      </c>
      <c r="V75" t="s">
        <v>29</v>
      </c>
      <c r="W75">
        <v>-277.77777777776993</v>
      </c>
      <c r="X75">
        <v>277.77777777777777</v>
      </c>
      <c r="Y75">
        <v>-1.4699074074073659</v>
      </c>
    </row>
    <row r="76" spans="1:25" x14ac:dyDescent="0.25">
      <c r="A76">
        <v>1</v>
      </c>
      <c r="B76" s="1">
        <v>1001</v>
      </c>
      <c r="C76" s="2" t="s">
        <v>25</v>
      </c>
      <c r="D76" s="2">
        <v>21241.53</v>
      </c>
      <c r="E76" s="2">
        <v>20813.459722222222</v>
      </c>
      <c r="F76" s="1">
        <v>36</v>
      </c>
      <c r="G76" s="1">
        <v>1</v>
      </c>
      <c r="H76" s="2" t="s">
        <v>26</v>
      </c>
      <c r="J76" s="2" t="s">
        <v>26</v>
      </c>
      <c r="K76" s="2" t="s">
        <v>26</v>
      </c>
      <c r="L76" s="2" t="s">
        <v>26</v>
      </c>
      <c r="M76" s="1">
        <v>2868</v>
      </c>
      <c r="N76" t="s">
        <v>31</v>
      </c>
      <c r="O76" s="5">
        <v>40725</v>
      </c>
      <c r="P76">
        <v>1</v>
      </c>
      <c r="Q76">
        <v>2</v>
      </c>
      <c r="R76" s="2">
        <v>112.40309624999999</v>
      </c>
      <c r="T76" s="2">
        <v>112.40309624999999</v>
      </c>
      <c r="U76" t="s">
        <v>29</v>
      </c>
      <c r="V76" t="s">
        <v>29</v>
      </c>
      <c r="W76">
        <v>9722.2222222222226</v>
      </c>
      <c r="X76">
        <v>277.77777777777777</v>
      </c>
      <c r="Y76">
        <v>51.446759259259267</v>
      </c>
    </row>
    <row r="77" spans="1:25" x14ac:dyDescent="0.25">
      <c r="A77">
        <v>1</v>
      </c>
      <c r="B77" s="1">
        <v>1001</v>
      </c>
      <c r="C77" s="2" t="s">
        <v>25</v>
      </c>
      <c r="D77" s="2">
        <v>21241.53</v>
      </c>
      <c r="E77" s="2">
        <v>20385.389444444445</v>
      </c>
      <c r="F77" s="1">
        <v>36</v>
      </c>
      <c r="G77" s="1">
        <v>2</v>
      </c>
      <c r="H77" s="2" t="s">
        <v>26</v>
      </c>
      <c r="J77" s="2" t="s">
        <v>26</v>
      </c>
      <c r="K77" s="2" t="s">
        <v>26</v>
      </c>
      <c r="L77" s="2" t="s">
        <v>26</v>
      </c>
      <c r="M77" s="1">
        <v>2868</v>
      </c>
      <c r="N77" t="s">
        <v>31</v>
      </c>
      <c r="O77" s="5">
        <f>EDATE(O76,1)</f>
        <v>40756</v>
      </c>
      <c r="P77">
        <v>2</v>
      </c>
      <c r="Q77">
        <v>3</v>
      </c>
      <c r="R77" s="2">
        <v>110.13789103009259</v>
      </c>
      <c r="T77" s="2">
        <v>110.13789103009259</v>
      </c>
      <c r="U77" t="s">
        <v>29</v>
      </c>
      <c r="V77" t="s">
        <v>29</v>
      </c>
      <c r="W77">
        <v>9444.4444444444453</v>
      </c>
      <c r="X77">
        <v>277.77777777777777</v>
      </c>
      <c r="Y77">
        <v>49.976851851851855</v>
      </c>
    </row>
    <row r="78" spans="1:25" x14ac:dyDescent="0.25">
      <c r="A78">
        <v>1</v>
      </c>
      <c r="B78" s="1">
        <v>1001</v>
      </c>
      <c r="C78" s="2" t="s">
        <v>25</v>
      </c>
      <c r="D78" s="2">
        <v>21241.53</v>
      </c>
      <c r="E78" s="2">
        <v>19957.319166666668</v>
      </c>
      <c r="F78" s="1">
        <v>36</v>
      </c>
      <c r="G78" s="1">
        <v>3</v>
      </c>
      <c r="H78" s="2" t="s">
        <v>26</v>
      </c>
      <c r="J78" s="2" t="s">
        <v>26</v>
      </c>
      <c r="K78" s="2" t="s">
        <v>26</v>
      </c>
      <c r="L78" s="2" t="s">
        <v>26</v>
      </c>
      <c r="M78" s="1">
        <v>2868</v>
      </c>
      <c r="N78" t="s">
        <v>31</v>
      </c>
      <c r="O78" s="5">
        <f>EDATE(O77,1)</f>
        <v>40787</v>
      </c>
      <c r="P78">
        <v>3</v>
      </c>
      <c r="Q78">
        <v>4</v>
      </c>
      <c r="R78" s="2">
        <v>107.87268581018519</v>
      </c>
      <c r="T78" s="2">
        <v>107.87268581018519</v>
      </c>
      <c r="U78" t="s">
        <v>29</v>
      </c>
      <c r="V78" t="s">
        <v>29</v>
      </c>
      <c r="W78">
        <v>9166.6666666666679</v>
      </c>
      <c r="X78">
        <v>277.77777777777777</v>
      </c>
      <c r="Y78">
        <v>48.50694444444445</v>
      </c>
    </row>
    <row r="79" spans="1:25" x14ac:dyDescent="0.25">
      <c r="A79">
        <v>1</v>
      </c>
      <c r="B79" s="1">
        <v>1001</v>
      </c>
      <c r="C79" s="2" t="s">
        <v>25</v>
      </c>
      <c r="D79" s="2">
        <v>21241.53</v>
      </c>
      <c r="E79" s="2">
        <v>19529.248888888891</v>
      </c>
      <c r="F79" s="1">
        <v>36</v>
      </c>
      <c r="G79" s="1">
        <v>4</v>
      </c>
      <c r="H79" s="2" t="s">
        <v>26</v>
      </c>
      <c r="J79" s="2" t="s">
        <v>26</v>
      </c>
      <c r="K79" s="2" t="s">
        <v>26</v>
      </c>
      <c r="L79" s="2" t="s">
        <v>26</v>
      </c>
      <c r="M79" s="1">
        <v>2868</v>
      </c>
      <c r="N79" t="s">
        <v>31</v>
      </c>
      <c r="O79" s="5">
        <f>EDATE(O78,1)</f>
        <v>40817</v>
      </c>
      <c r="P79">
        <v>4</v>
      </c>
      <c r="Q79">
        <v>5</v>
      </c>
      <c r="R79" s="2">
        <v>105.60748059027777</v>
      </c>
      <c r="T79" s="2">
        <v>105.60748059027777</v>
      </c>
      <c r="U79" t="s">
        <v>29</v>
      </c>
      <c r="V79" t="s">
        <v>29</v>
      </c>
      <c r="W79">
        <v>8888.8888888888905</v>
      </c>
      <c r="X79">
        <v>277.77777777777777</v>
      </c>
      <c r="Y79">
        <v>47.037037037037045</v>
      </c>
    </row>
    <row r="80" spans="1:25" x14ac:dyDescent="0.25">
      <c r="A80">
        <v>1</v>
      </c>
      <c r="B80" s="1">
        <v>1001</v>
      </c>
      <c r="C80" s="2" t="s">
        <v>25</v>
      </c>
      <c r="D80" s="2">
        <v>21241.53</v>
      </c>
      <c r="E80" s="2">
        <v>19101.178611111114</v>
      </c>
      <c r="F80" s="1">
        <v>36</v>
      </c>
      <c r="G80" s="1">
        <v>5</v>
      </c>
      <c r="H80" s="2" t="s">
        <v>26</v>
      </c>
      <c r="J80" s="2" t="s">
        <v>26</v>
      </c>
      <c r="K80" s="2" t="s">
        <v>26</v>
      </c>
      <c r="L80" s="2" t="s">
        <v>26</v>
      </c>
      <c r="M80" s="1">
        <v>2868</v>
      </c>
      <c r="N80" t="s">
        <v>31</v>
      </c>
      <c r="O80" s="5">
        <f>EDATE(O79,1)</f>
        <v>40848</v>
      </c>
      <c r="P80">
        <v>5</v>
      </c>
      <c r="Q80">
        <v>6</v>
      </c>
      <c r="R80" s="2">
        <v>103.34227537037039</v>
      </c>
      <c r="T80" s="2">
        <v>103.34227537037039</v>
      </c>
      <c r="U80" t="s">
        <v>29</v>
      </c>
      <c r="V80" t="s">
        <v>29</v>
      </c>
      <c r="W80">
        <v>8611.1111111111131</v>
      </c>
      <c r="X80">
        <v>277.77777777777777</v>
      </c>
      <c r="Y80">
        <v>45.56712962962964</v>
      </c>
    </row>
    <row r="81" spans="1:25" x14ac:dyDescent="0.25">
      <c r="A81">
        <v>1</v>
      </c>
      <c r="B81" s="1">
        <v>1001</v>
      </c>
      <c r="C81" s="2" t="s">
        <v>25</v>
      </c>
      <c r="D81" s="2">
        <v>21241.53</v>
      </c>
      <c r="E81" s="2">
        <v>18673.108333333337</v>
      </c>
      <c r="F81" s="1">
        <v>36</v>
      </c>
      <c r="G81" s="1">
        <v>6</v>
      </c>
      <c r="H81" s="2" t="s">
        <v>26</v>
      </c>
      <c r="J81" s="2" t="s">
        <v>26</v>
      </c>
      <c r="K81" s="2" t="s">
        <v>26</v>
      </c>
      <c r="L81" s="2" t="s">
        <v>26</v>
      </c>
      <c r="M81" s="1">
        <v>2868</v>
      </c>
      <c r="N81" t="s">
        <v>31</v>
      </c>
      <c r="O81" s="5">
        <f>EDATE(O80,1)</f>
        <v>40878</v>
      </c>
      <c r="P81">
        <v>6</v>
      </c>
      <c r="Q81">
        <v>7</v>
      </c>
      <c r="R81" s="2">
        <v>101.07707015046299</v>
      </c>
      <c r="T81" s="2">
        <v>101.07707015046299</v>
      </c>
      <c r="U81" t="s">
        <v>29</v>
      </c>
      <c r="V81" t="s">
        <v>29</v>
      </c>
      <c r="W81">
        <v>8333.3333333333358</v>
      </c>
      <c r="X81">
        <v>277.77777777777777</v>
      </c>
      <c r="Y81">
        <v>44.097222222222236</v>
      </c>
    </row>
    <row r="82" spans="1:25" x14ac:dyDescent="0.25">
      <c r="A82">
        <v>1</v>
      </c>
      <c r="B82" s="1">
        <v>1001</v>
      </c>
      <c r="C82" s="2" t="s">
        <v>25</v>
      </c>
      <c r="D82" s="2">
        <v>21241.53</v>
      </c>
      <c r="E82" s="2">
        <v>18245.03805555556</v>
      </c>
      <c r="F82" s="1">
        <v>36</v>
      </c>
      <c r="G82" s="1">
        <v>7</v>
      </c>
      <c r="H82" s="2" t="s">
        <v>26</v>
      </c>
      <c r="J82" s="2" t="s">
        <v>26</v>
      </c>
      <c r="K82" s="2" t="s">
        <v>26</v>
      </c>
      <c r="L82" s="2" t="s">
        <v>26</v>
      </c>
      <c r="M82" s="1">
        <v>2868</v>
      </c>
      <c r="N82" t="s">
        <v>31</v>
      </c>
      <c r="O82" s="5">
        <f>EDATE(O81,1)</f>
        <v>40909</v>
      </c>
      <c r="P82">
        <v>7</v>
      </c>
      <c r="Q82">
        <v>8</v>
      </c>
      <c r="R82" s="2">
        <v>98.811864930555586</v>
      </c>
      <c r="T82" s="2">
        <v>98.811864930555586</v>
      </c>
      <c r="U82" t="s">
        <v>29</v>
      </c>
      <c r="V82" t="s">
        <v>29</v>
      </c>
      <c r="W82">
        <v>8055.5555555555584</v>
      </c>
      <c r="X82">
        <v>277.77777777777777</v>
      </c>
      <c r="Y82">
        <v>42.627314814814831</v>
      </c>
    </row>
    <row r="83" spans="1:25" x14ac:dyDescent="0.25">
      <c r="A83">
        <v>1</v>
      </c>
      <c r="B83" s="1">
        <v>1001</v>
      </c>
      <c r="C83" s="2" t="s">
        <v>25</v>
      </c>
      <c r="D83" s="2">
        <v>21241.53</v>
      </c>
      <c r="E83" s="2">
        <v>17816.967777777783</v>
      </c>
      <c r="F83" s="1">
        <v>36</v>
      </c>
      <c r="G83" s="1">
        <v>8</v>
      </c>
      <c r="H83" s="2" t="s">
        <v>26</v>
      </c>
      <c r="J83" s="2" t="s">
        <v>26</v>
      </c>
      <c r="K83" s="2" t="s">
        <v>26</v>
      </c>
      <c r="L83" s="2" t="s">
        <v>26</v>
      </c>
      <c r="M83" s="1">
        <v>2868</v>
      </c>
      <c r="N83" t="s">
        <v>31</v>
      </c>
      <c r="O83" s="5">
        <f>EDATE(O82,1)</f>
        <v>40940</v>
      </c>
      <c r="P83">
        <v>8</v>
      </c>
      <c r="Q83">
        <v>9</v>
      </c>
      <c r="R83" s="2">
        <v>96.546659710648171</v>
      </c>
      <c r="T83" s="2">
        <v>96.546659710648171</v>
      </c>
      <c r="U83" t="s">
        <v>29</v>
      </c>
      <c r="V83" t="s">
        <v>29</v>
      </c>
      <c r="W83">
        <v>7777.777777777781</v>
      </c>
      <c r="X83">
        <v>277.77777777777777</v>
      </c>
      <c r="Y83">
        <v>41.157407407407426</v>
      </c>
    </row>
    <row r="84" spans="1:25" x14ac:dyDescent="0.25">
      <c r="A84">
        <v>1</v>
      </c>
      <c r="B84" s="1">
        <v>1001</v>
      </c>
      <c r="C84" s="2" t="s">
        <v>25</v>
      </c>
      <c r="D84" s="2">
        <v>21241.53</v>
      </c>
      <c r="E84" s="2">
        <v>17388.897500000006</v>
      </c>
      <c r="F84" s="1">
        <v>36</v>
      </c>
      <c r="G84" s="1">
        <v>9</v>
      </c>
      <c r="H84" s="2" t="s">
        <v>26</v>
      </c>
      <c r="J84" s="2" t="s">
        <v>26</v>
      </c>
      <c r="K84" s="2" t="s">
        <v>26</v>
      </c>
      <c r="L84" s="2" t="s">
        <v>26</v>
      </c>
      <c r="M84" s="1">
        <v>2868</v>
      </c>
      <c r="N84" t="s">
        <v>31</v>
      </c>
      <c r="O84" s="5">
        <f>EDATE(O83,1)</f>
        <v>40969</v>
      </c>
      <c r="P84">
        <v>9</v>
      </c>
      <c r="Q84">
        <v>10</v>
      </c>
      <c r="R84" s="2">
        <v>94.281454490740771</v>
      </c>
      <c r="T84" s="2">
        <v>94.281454490740771</v>
      </c>
      <c r="U84" t="s">
        <v>29</v>
      </c>
      <c r="V84" t="s">
        <v>29</v>
      </c>
      <c r="W84">
        <v>7500.0000000000036</v>
      </c>
      <c r="X84">
        <v>277.77777777777777</v>
      </c>
      <c r="Y84">
        <v>39.687500000000021</v>
      </c>
    </row>
    <row r="85" spans="1:25" x14ac:dyDescent="0.25">
      <c r="A85">
        <v>1</v>
      </c>
      <c r="B85" s="1">
        <v>1001</v>
      </c>
      <c r="C85" s="2" t="s">
        <v>25</v>
      </c>
      <c r="D85" s="2">
        <v>21241.53</v>
      </c>
      <c r="E85" s="2">
        <v>16960.827222222229</v>
      </c>
      <c r="F85" s="1">
        <v>36</v>
      </c>
      <c r="G85" s="1">
        <v>10</v>
      </c>
      <c r="H85" s="2" t="s">
        <v>26</v>
      </c>
      <c r="J85" s="2" t="s">
        <v>26</v>
      </c>
      <c r="K85" s="2" t="s">
        <v>26</v>
      </c>
      <c r="L85" s="2" t="s">
        <v>26</v>
      </c>
      <c r="M85" s="1">
        <v>2868</v>
      </c>
      <c r="N85" t="s">
        <v>31</v>
      </c>
      <c r="O85" s="5">
        <f>EDATE(O84,1)</f>
        <v>41000</v>
      </c>
      <c r="P85">
        <v>10</v>
      </c>
      <c r="Q85">
        <v>11</v>
      </c>
      <c r="R85" s="2">
        <v>92.01624927083337</v>
      </c>
      <c r="T85" s="2">
        <v>92.01624927083337</v>
      </c>
      <c r="U85" t="s">
        <v>29</v>
      </c>
      <c r="V85" t="s">
        <v>29</v>
      </c>
      <c r="W85">
        <v>7222.2222222222263</v>
      </c>
      <c r="X85">
        <v>277.77777777777777</v>
      </c>
      <c r="Y85">
        <v>38.217592592592617</v>
      </c>
    </row>
    <row r="86" spans="1:25" x14ac:dyDescent="0.25">
      <c r="A86">
        <v>1</v>
      </c>
      <c r="B86" s="1">
        <v>1001</v>
      </c>
      <c r="C86" s="2" t="s">
        <v>25</v>
      </c>
      <c r="D86" s="2">
        <v>21241.53</v>
      </c>
      <c r="E86" s="2">
        <v>16532.756944444453</v>
      </c>
      <c r="F86" s="1">
        <v>36</v>
      </c>
      <c r="G86" s="1">
        <v>11</v>
      </c>
      <c r="H86" s="2" t="s">
        <v>26</v>
      </c>
      <c r="J86" s="2" t="s">
        <v>26</v>
      </c>
      <c r="K86" s="2" t="s">
        <v>26</v>
      </c>
      <c r="L86" s="2" t="s">
        <v>26</v>
      </c>
      <c r="M86" s="1">
        <v>2868</v>
      </c>
      <c r="N86" t="s">
        <v>31</v>
      </c>
      <c r="O86" s="5">
        <f>EDATE(O85,1)</f>
        <v>41030</v>
      </c>
      <c r="P86">
        <v>11</v>
      </c>
      <c r="Q86">
        <v>12</v>
      </c>
      <c r="R86" s="2">
        <v>89.751044050925955</v>
      </c>
      <c r="T86" s="2">
        <v>89.751044050925955</v>
      </c>
      <c r="U86" t="s">
        <v>29</v>
      </c>
      <c r="V86" t="s">
        <v>29</v>
      </c>
      <c r="W86">
        <v>6944.4444444444489</v>
      </c>
      <c r="X86">
        <v>277.77777777777777</v>
      </c>
      <c r="Y86">
        <v>36.747685185185212</v>
      </c>
    </row>
    <row r="87" spans="1:25" x14ac:dyDescent="0.25">
      <c r="A87">
        <v>1</v>
      </c>
      <c r="B87" s="1">
        <v>1001</v>
      </c>
      <c r="C87" s="2" t="s">
        <v>25</v>
      </c>
      <c r="D87" s="2">
        <v>21241.53</v>
      </c>
      <c r="E87" s="2">
        <v>16104.686666666676</v>
      </c>
      <c r="F87" s="1">
        <v>36</v>
      </c>
      <c r="G87" s="1">
        <v>12</v>
      </c>
      <c r="H87" s="2" t="s">
        <v>26</v>
      </c>
      <c r="J87" s="2" t="s">
        <v>26</v>
      </c>
      <c r="K87" s="2" t="s">
        <v>26</v>
      </c>
      <c r="L87" s="2" t="s">
        <v>26</v>
      </c>
      <c r="M87" s="1">
        <v>2868</v>
      </c>
      <c r="N87" t="s">
        <v>31</v>
      </c>
      <c r="O87" s="5">
        <f>EDATE(O86,1)</f>
        <v>41061</v>
      </c>
      <c r="P87">
        <v>12</v>
      </c>
      <c r="Q87">
        <v>13</v>
      </c>
      <c r="R87" s="2">
        <v>87.485838831018555</v>
      </c>
      <c r="T87" s="2">
        <v>87.485838831018555</v>
      </c>
      <c r="U87" t="s">
        <v>29</v>
      </c>
      <c r="V87" t="s">
        <v>29</v>
      </c>
      <c r="W87">
        <v>6666.6666666666715</v>
      </c>
      <c r="X87">
        <v>277.77777777777777</v>
      </c>
      <c r="Y87">
        <v>35.277777777777807</v>
      </c>
    </row>
    <row r="88" spans="1:25" x14ac:dyDescent="0.25">
      <c r="A88">
        <v>1</v>
      </c>
      <c r="B88" s="1">
        <v>1001</v>
      </c>
      <c r="C88" s="2" t="s">
        <v>25</v>
      </c>
      <c r="D88" s="2">
        <v>21241.53</v>
      </c>
      <c r="E88" s="2">
        <v>15676.616388888899</v>
      </c>
      <c r="F88" s="1">
        <v>36</v>
      </c>
      <c r="G88" s="1">
        <v>13</v>
      </c>
      <c r="H88" s="2" t="s">
        <v>26</v>
      </c>
      <c r="J88" s="2" t="s">
        <v>26</v>
      </c>
      <c r="K88" s="2" t="s">
        <v>26</v>
      </c>
      <c r="L88" s="2" t="s">
        <v>26</v>
      </c>
      <c r="M88" s="1">
        <v>2868</v>
      </c>
      <c r="N88" t="s">
        <v>31</v>
      </c>
      <c r="O88" s="5">
        <f>EDATE(O87,1)</f>
        <v>41091</v>
      </c>
      <c r="P88">
        <v>13</v>
      </c>
      <c r="Q88">
        <v>14</v>
      </c>
      <c r="R88" s="2">
        <v>85.220633611111154</v>
      </c>
      <c r="T88" s="2">
        <v>85.220633611111154</v>
      </c>
      <c r="U88" t="s">
        <v>29</v>
      </c>
      <c r="V88" t="s">
        <v>29</v>
      </c>
      <c r="W88">
        <v>6388.8888888888941</v>
      </c>
      <c r="X88">
        <v>277.77777777777777</v>
      </c>
      <c r="Y88">
        <v>33.807870370370402</v>
      </c>
    </row>
    <row r="89" spans="1:25" x14ac:dyDescent="0.25">
      <c r="A89">
        <v>1</v>
      </c>
      <c r="B89" s="1">
        <v>1001</v>
      </c>
      <c r="C89" s="2" t="s">
        <v>25</v>
      </c>
      <c r="D89" s="2">
        <v>21241.53</v>
      </c>
      <c r="E89" s="2">
        <v>15248.546111111122</v>
      </c>
      <c r="F89" s="1">
        <v>36</v>
      </c>
      <c r="G89" s="1">
        <v>14</v>
      </c>
      <c r="H89" s="2" t="s">
        <v>26</v>
      </c>
      <c r="J89" s="2" t="s">
        <v>26</v>
      </c>
      <c r="K89" s="2" t="s">
        <v>26</v>
      </c>
      <c r="L89" s="2" t="s">
        <v>26</v>
      </c>
      <c r="M89" s="1">
        <v>2868</v>
      </c>
      <c r="N89" t="s">
        <v>31</v>
      </c>
      <c r="O89" s="5">
        <f>EDATE(O88,1)</f>
        <v>41122</v>
      </c>
      <c r="P89">
        <v>14</v>
      </c>
      <c r="Q89">
        <v>15</v>
      </c>
      <c r="R89" s="2">
        <v>82.955428391203753</v>
      </c>
      <c r="T89" s="2">
        <v>82.955428391203753</v>
      </c>
      <c r="U89" t="s">
        <v>29</v>
      </c>
      <c r="V89" t="s">
        <v>29</v>
      </c>
      <c r="W89">
        <v>6111.1111111111168</v>
      </c>
      <c r="X89">
        <v>277.77777777777777</v>
      </c>
      <c r="Y89">
        <v>32.337962962962997</v>
      </c>
    </row>
    <row r="90" spans="1:25" x14ac:dyDescent="0.25">
      <c r="A90">
        <v>1</v>
      </c>
      <c r="B90" s="1">
        <v>1001</v>
      </c>
      <c r="C90" s="2" t="s">
        <v>25</v>
      </c>
      <c r="D90" s="2">
        <v>21241.53</v>
      </c>
      <c r="E90" s="2">
        <v>14820.475833333345</v>
      </c>
      <c r="F90" s="1">
        <v>36</v>
      </c>
      <c r="G90" s="1">
        <v>15</v>
      </c>
      <c r="H90" s="2" t="s">
        <v>26</v>
      </c>
      <c r="J90" s="2" t="s">
        <v>26</v>
      </c>
      <c r="K90" s="2" t="s">
        <v>26</v>
      </c>
      <c r="L90" s="2" t="s">
        <v>26</v>
      </c>
      <c r="M90" s="1">
        <v>2868</v>
      </c>
      <c r="N90" t="s">
        <v>31</v>
      </c>
      <c r="O90" s="5">
        <f>EDATE(O89,1)</f>
        <v>41153</v>
      </c>
      <c r="P90">
        <v>15</v>
      </c>
      <c r="Q90">
        <v>16</v>
      </c>
      <c r="R90" s="2">
        <v>80.690223171296353</v>
      </c>
      <c r="T90" s="2">
        <v>80.690223171296353</v>
      </c>
      <c r="U90" t="s">
        <v>29</v>
      </c>
      <c r="V90" t="s">
        <v>29</v>
      </c>
      <c r="W90">
        <v>5833.3333333333394</v>
      </c>
      <c r="X90">
        <v>277.77777777777777</v>
      </c>
      <c r="Y90">
        <v>30.868055555555589</v>
      </c>
    </row>
    <row r="91" spans="1:25" x14ac:dyDescent="0.25">
      <c r="A91">
        <v>1</v>
      </c>
      <c r="B91" s="1">
        <v>1001</v>
      </c>
      <c r="C91" s="2" t="s">
        <v>25</v>
      </c>
      <c r="D91" s="2">
        <v>21241.53</v>
      </c>
      <c r="E91" s="2">
        <v>14392.405555555568</v>
      </c>
      <c r="F91" s="1">
        <v>36</v>
      </c>
      <c r="G91" s="1">
        <v>16</v>
      </c>
      <c r="H91" s="2" t="s">
        <v>26</v>
      </c>
      <c r="J91" s="2" t="s">
        <v>26</v>
      </c>
      <c r="K91" s="2" t="s">
        <v>26</v>
      </c>
      <c r="L91" s="2" t="s">
        <v>26</v>
      </c>
      <c r="M91" s="1">
        <v>2868</v>
      </c>
      <c r="N91" t="s">
        <v>31</v>
      </c>
      <c r="O91" s="5">
        <f>EDATE(O90,1)</f>
        <v>41183</v>
      </c>
      <c r="P91">
        <v>16</v>
      </c>
      <c r="Q91">
        <v>17</v>
      </c>
      <c r="R91" s="2">
        <v>78.425017951388952</v>
      </c>
      <c r="T91" s="2">
        <v>78.425017951388952</v>
      </c>
      <c r="U91" t="s">
        <v>29</v>
      </c>
      <c r="V91" t="s">
        <v>29</v>
      </c>
      <c r="W91">
        <v>5555.555555555562</v>
      </c>
      <c r="X91">
        <v>277.77777777777777</v>
      </c>
      <c r="Y91">
        <v>29.398148148148181</v>
      </c>
    </row>
    <row r="92" spans="1:25" x14ac:dyDescent="0.25">
      <c r="A92">
        <v>1</v>
      </c>
      <c r="B92" s="1">
        <v>1001</v>
      </c>
      <c r="C92" s="2" t="s">
        <v>25</v>
      </c>
      <c r="D92" s="2">
        <v>21241.53</v>
      </c>
      <c r="E92" s="2">
        <v>13964.335277777791</v>
      </c>
      <c r="F92" s="1">
        <v>36</v>
      </c>
      <c r="G92" s="1">
        <v>17</v>
      </c>
      <c r="H92" s="2" t="s">
        <v>26</v>
      </c>
      <c r="J92" s="2" t="s">
        <v>26</v>
      </c>
      <c r="K92" s="2" t="s">
        <v>26</v>
      </c>
      <c r="L92" s="2" t="s">
        <v>26</v>
      </c>
      <c r="M92" s="1">
        <v>2868</v>
      </c>
      <c r="N92" t="s">
        <v>31</v>
      </c>
      <c r="O92" s="5">
        <f>EDATE(O91,1)</f>
        <v>41214</v>
      </c>
      <c r="P92">
        <v>17</v>
      </c>
      <c r="Q92">
        <v>18</v>
      </c>
      <c r="R92" s="2">
        <v>76.159812731481551</v>
      </c>
      <c r="T92" s="2">
        <v>76.159812731481551</v>
      </c>
      <c r="U92" t="s">
        <v>29</v>
      </c>
      <c r="V92" t="s">
        <v>29</v>
      </c>
      <c r="W92">
        <v>5277.7777777777846</v>
      </c>
      <c r="X92">
        <v>277.77777777777777</v>
      </c>
      <c r="Y92">
        <v>27.928240740740776</v>
      </c>
    </row>
    <row r="93" spans="1:25" x14ac:dyDescent="0.25">
      <c r="A93">
        <v>1</v>
      </c>
      <c r="B93" s="1">
        <v>1001</v>
      </c>
      <c r="C93" s="2" t="s">
        <v>25</v>
      </c>
      <c r="D93" s="2">
        <v>21241.53</v>
      </c>
      <c r="E93" s="2">
        <v>13536.265000000014</v>
      </c>
      <c r="F93" s="1">
        <v>36</v>
      </c>
      <c r="G93" s="1">
        <v>18</v>
      </c>
      <c r="H93" s="2" t="s">
        <v>26</v>
      </c>
      <c r="J93" s="2" t="s">
        <v>26</v>
      </c>
      <c r="K93" s="2" t="s">
        <v>26</v>
      </c>
      <c r="L93" s="2" t="s">
        <v>26</v>
      </c>
      <c r="M93" s="1">
        <v>2868</v>
      </c>
      <c r="N93" t="s">
        <v>31</v>
      </c>
      <c r="O93" s="5">
        <f>EDATE(O92,1)</f>
        <v>41244</v>
      </c>
      <c r="P93">
        <v>18</v>
      </c>
      <c r="Q93">
        <v>19</v>
      </c>
      <c r="R93" s="2">
        <v>73.894607511574137</v>
      </c>
      <c r="T93" s="2">
        <v>73.894607511574137</v>
      </c>
      <c r="U93" t="s">
        <v>29</v>
      </c>
      <c r="V93" t="s">
        <v>29</v>
      </c>
      <c r="W93">
        <v>5000.0000000000073</v>
      </c>
      <c r="X93">
        <v>277.77777777777777</v>
      </c>
      <c r="Y93">
        <v>26.458333333333371</v>
      </c>
    </row>
    <row r="94" spans="1:25" x14ac:dyDescent="0.25">
      <c r="A94">
        <v>1</v>
      </c>
      <c r="B94" s="1">
        <v>1001</v>
      </c>
      <c r="C94" s="2" t="s">
        <v>25</v>
      </c>
      <c r="D94" s="2">
        <v>21241.53</v>
      </c>
      <c r="E94" s="2">
        <v>13108.194722222237</v>
      </c>
      <c r="F94" s="1">
        <v>36</v>
      </c>
      <c r="G94" s="1">
        <v>19</v>
      </c>
      <c r="H94" s="2" t="s">
        <v>26</v>
      </c>
      <c r="J94" s="2" t="s">
        <v>26</v>
      </c>
      <c r="K94" s="2" t="s">
        <v>26</v>
      </c>
      <c r="L94" s="2" t="s">
        <v>26</v>
      </c>
      <c r="M94" s="1">
        <v>2868</v>
      </c>
      <c r="N94" t="s">
        <v>31</v>
      </c>
      <c r="O94" s="5">
        <f>EDATE(O93,1)</f>
        <v>41275</v>
      </c>
      <c r="P94">
        <v>19</v>
      </c>
      <c r="Q94">
        <v>20</v>
      </c>
      <c r="R94" s="2">
        <v>71.62940229166675</v>
      </c>
      <c r="T94" s="2">
        <v>71.62940229166675</v>
      </c>
      <c r="U94" t="s">
        <v>29</v>
      </c>
      <c r="V94" t="s">
        <v>29</v>
      </c>
      <c r="W94">
        <v>4722.2222222222299</v>
      </c>
      <c r="X94">
        <v>277.77777777777777</v>
      </c>
      <c r="Y94">
        <v>24.988425925925966</v>
      </c>
    </row>
    <row r="95" spans="1:25" x14ac:dyDescent="0.25">
      <c r="A95">
        <v>1</v>
      </c>
      <c r="B95" s="1">
        <v>1001</v>
      </c>
      <c r="C95" s="2" t="s">
        <v>25</v>
      </c>
      <c r="D95" s="2">
        <v>21241.53</v>
      </c>
      <c r="E95" s="2">
        <v>12680.12444444446</v>
      </c>
      <c r="F95" s="1">
        <v>36</v>
      </c>
      <c r="G95" s="1">
        <v>20</v>
      </c>
      <c r="H95" s="2" t="s">
        <v>26</v>
      </c>
      <c r="J95" s="2" t="s">
        <v>26</v>
      </c>
      <c r="K95" s="2" t="s">
        <v>26</v>
      </c>
      <c r="L95" s="2" t="s">
        <v>26</v>
      </c>
      <c r="M95" s="1">
        <v>2868</v>
      </c>
      <c r="N95" t="s">
        <v>31</v>
      </c>
      <c r="O95" s="5">
        <f>EDATE(O94,1)</f>
        <v>41306</v>
      </c>
      <c r="P95">
        <v>20</v>
      </c>
      <c r="Q95">
        <v>21</v>
      </c>
      <c r="R95" s="2">
        <v>69.364197071759335</v>
      </c>
      <c r="T95" s="2">
        <v>69.364197071759335</v>
      </c>
      <c r="U95" t="s">
        <v>29</v>
      </c>
      <c r="V95" t="s">
        <v>29</v>
      </c>
      <c r="W95">
        <v>4444.4444444444525</v>
      </c>
      <c r="X95">
        <v>277.77777777777777</v>
      </c>
      <c r="Y95">
        <v>23.518518518518562</v>
      </c>
    </row>
    <row r="96" spans="1:25" x14ac:dyDescent="0.25">
      <c r="A96">
        <v>1</v>
      </c>
      <c r="B96" s="1">
        <v>1001</v>
      </c>
      <c r="C96" s="2" t="s">
        <v>25</v>
      </c>
      <c r="D96" s="2">
        <v>21241.53</v>
      </c>
      <c r="E96" s="2">
        <v>12252.054166666683</v>
      </c>
      <c r="F96" s="1">
        <v>36</v>
      </c>
      <c r="G96" s="1">
        <v>21</v>
      </c>
      <c r="H96" s="2" t="s">
        <v>26</v>
      </c>
      <c r="J96" s="2" t="s">
        <v>26</v>
      </c>
      <c r="K96" s="2" t="s">
        <v>26</v>
      </c>
      <c r="L96" s="2" t="s">
        <v>26</v>
      </c>
      <c r="M96" s="1">
        <v>2868</v>
      </c>
      <c r="N96" t="s">
        <v>31</v>
      </c>
      <c r="O96" s="5">
        <f>EDATE(O95,1)</f>
        <v>41334</v>
      </c>
      <c r="P96">
        <v>21</v>
      </c>
      <c r="Q96">
        <v>22</v>
      </c>
      <c r="R96" s="2">
        <v>67.098991851851935</v>
      </c>
      <c r="T96" s="2">
        <v>67.098991851851935</v>
      </c>
      <c r="U96" t="s">
        <v>29</v>
      </c>
      <c r="V96" t="s">
        <v>29</v>
      </c>
      <c r="W96">
        <v>4166.6666666666752</v>
      </c>
      <c r="X96">
        <v>277.77777777777777</v>
      </c>
      <c r="Y96">
        <v>22.048611111111157</v>
      </c>
    </row>
    <row r="97" spans="1:25" x14ac:dyDescent="0.25">
      <c r="A97">
        <v>1</v>
      </c>
      <c r="B97" s="1">
        <v>1001</v>
      </c>
      <c r="C97" s="2" t="s">
        <v>25</v>
      </c>
      <c r="D97" s="2">
        <v>21241.53</v>
      </c>
      <c r="E97" s="2">
        <v>11823.983888888906</v>
      </c>
      <c r="F97" s="1">
        <v>36</v>
      </c>
      <c r="G97" s="1">
        <v>22</v>
      </c>
      <c r="H97" s="2" t="s">
        <v>26</v>
      </c>
      <c r="J97" s="2" t="s">
        <v>26</v>
      </c>
      <c r="K97" s="2" t="s">
        <v>26</v>
      </c>
      <c r="L97" s="2" t="s">
        <v>26</v>
      </c>
      <c r="M97" s="1">
        <v>2868</v>
      </c>
      <c r="N97" t="s">
        <v>31</v>
      </c>
      <c r="O97" s="5">
        <f>EDATE(O96,1)</f>
        <v>41365</v>
      </c>
      <c r="P97">
        <v>22</v>
      </c>
      <c r="Q97">
        <v>23</v>
      </c>
      <c r="R97" s="2">
        <v>64.833786631944534</v>
      </c>
      <c r="T97" s="2">
        <v>64.833786631944534</v>
      </c>
      <c r="U97" t="s">
        <v>29</v>
      </c>
      <c r="V97" t="s">
        <v>29</v>
      </c>
      <c r="W97">
        <v>3888.8888888888973</v>
      </c>
      <c r="X97">
        <v>277.77777777777777</v>
      </c>
      <c r="Y97">
        <v>20.578703703703749</v>
      </c>
    </row>
    <row r="98" spans="1:25" x14ac:dyDescent="0.25">
      <c r="A98">
        <v>1</v>
      </c>
      <c r="B98" s="1">
        <v>1001</v>
      </c>
      <c r="C98" s="2" t="s">
        <v>25</v>
      </c>
      <c r="D98" s="2">
        <v>21241.53</v>
      </c>
      <c r="E98" s="2">
        <v>11395.913611111129</v>
      </c>
      <c r="F98" s="1">
        <v>36</v>
      </c>
      <c r="G98" s="1">
        <v>23</v>
      </c>
      <c r="H98" s="2" t="s">
        <v>26</v>
      </c>
      <c r="J98" s="2" t="s">
        <v>26</v>
      </c>
      <c r="K98" s="2" t="s">
        <v>26</v>
      </c>
      <c r="L98" s="2" t="s">
        <v>26</v>
      </c>
      <c r="M98" s="1">
        <v>2868</v>
      </c>
      <c r="N98" t="s">
        <v>31</v>
      </c>
      <c r="O98" s="5">
        <f>EDATE(O97,1)</f>
        <v>41395</v>
      </c>
      <c r="P98">
        <v>23</v>
      </c>
      <c r="Q98">
        <v>24</v>
      </c>
      <c r="R98" s="2">
        <v>62.568581412037133</v>
      </c>
      <c r="T98" s="2">
        <v>62.568581412037133</v>
      </c>
      <c r="U98" t="s">
        <v>29</v>
      </c>
      <c r="V98" t="s">
        <v>29</v>
      </c>
      <c r="W98">
        <v>3611.1111111111195</v>
      </c>
      <c r="X98">
        <v>277.77777777777777</v>
      </c>
      <c r="Y98">
        <v>19.10879629629634</v>
      </c>
    </row>
    <row r="99" spans="1:25" x14ac:dyDescent="0.25">
      <c r="A99">
        <v>1</v>
      </c>
      <c r="B99" s="1">
        <v>1001</v>
      </c>
      <c r="C99" s="2" t="s">
        <v>25</v>
      </c>
      <c r="D99" s="2">
        <v>21241.53</v>
      </c>
      <c r="E99" s="2">
        <v>10967.843333333352</v>
      </c>
      <c r="F99" s="1">
        <v>36</v>
      </c>
      <c r="G99" s="1">
        <v>24</v>
      </c>
      <c r="H99" s="2" t="s">
        <v>26</v>
      </c>
      <c r="J99" s="2" t="s">
        <v>26</v>
      </c>
      <c r="K99" s="2" t="s">
        <v>26</v>
      </c>
      <c r="L99" s="2" t="s">
        <v>26</v>
      </c>
      <c r="M99" s="1">
        <v>2868</v>
      </c>
      <c r="N99" t="s">
        <v>31</v>
      </c>
      <c r="O99" s="5">
        <f>EDATE(O98,1)</f>
        <v>41426</v>
      </c>
      <c r="P99">
        <v>24</v>
      </c>
      <c r="Q99">
        <v>25</v>
      </c>
      <c r="R99" s="2">
        <v>60.303376192129726</v>
      </c>
      <c r="T99" s="2">
        <v>60.303376192129726</v>
      </c>
      <c r="U99" t="s">
        <v>29</v>
      </c>
      <c r="V99" t="s">
        <v>29</v>
      </c>
      <c r="W99">
        <v>3333.3333333333417</v>
      </c>
      <c r="X99">
        <v>277.77777777777777</v>
      </c>
      <c r="Y99">
        <v>17.638888888888932</v>
      </c>
    </row>
    <row r="100" spans="1:25" x14ac:dyDescent="0.25">
      <c r="A100">
        <v>1</v>
      </c>
      <c r="B100" s="1">
        <v>1001</v>
      </c>
      <c r="C100" s="2" t="s">
        <v>25</v>
      </c>
      <c r="D100" s="2">
        <v>21241.53</v>
      </c>
      <c r="E100" s="2">
        <v>10539.773055555575</v>
      </c>
      <c r="F100" s="1">
        <v>36</v>
      </c>
      <c r="G100" s="1">
        <v>25</v>
      </c>
      <c r="H100" s="2" t="s">
        <v>26</v>
      </c>
      <c r="J100" s="2" t="s">
        <v>26</v>
      </c>
      <c r="K100" s="2" t="s">
        <v>26</v>
      </c>
      <c r="L100" s="2" t="s">
        <v>26</v>
      </c>
      <c r="M100" s="1">
        <v>2868</v>
      </c>
      <c r="N100" t="s">
        <v>31</v>
      </c>
      <c r="O100" s="5">
        <f>EDATE(O99,1)</f>
        <v>41456</v>
      </c>
      <c r="P100">
        <v>25</v>
      </c>
      <c r="Q100">
        <v>26</v>
      </c>
      <c r="R100" s="2">
        <v>58.038170972222325</v>
      </c>
      <c r="T100" s="2">
        <v>58.038170972222325</v>
      </c>
      <c r="U100" t="s">
        <v>29</v>
      </c>
      <c r="V100" t="s">
        <v>29</v>
      </c>
      <c r="W100">
        <v>3055.5555555555638</v>
      </c>
      <c r="X100">
        <v>277.77777777777777</v>
      </c>
      <c r="Y100">
        <v>16.168981481481527</v>
      </c>
    </row>
    <row r="101" spans="1:25" x14ac:dyDescent="0.25">
      <c r="A101">
        <v>1</v>
      </c>
      <c r="B101" s="1">
        <v>1001</v>
      </c>
      <c r="C101" s="2" t="s">
        <v>25</v>
      </c>
      <c r="D101" s="2">
        <v>21241.53</v>
      </c>
      <c r="E101" s="2">
        <v>10111.702777777798</v>
      </c>
      <c r="F101" s="1">
        <v>36</v>
      </c>
      <c r="G101" s="1">
        <v>26</v>
      </c>
      <c r="H101" s="2" t="s">
        <v>26</v>
      </c>
      <c r="J101" s="2" t="s">
        <v>26</v>
      </c>
      <c r="K101" s="2" t="s">
        <v>26</v>
      </c>
      <c r="L101" s="2" t="s">
        <v>26</v>
      </c>
      <c r="M101" s="1">
        <v>2868</v>
      </c>
      <c r="N101" t="s">
        <v>31</v>
      </c>
      <c r="O101" s="5">
        <f>EDATE(O100,1)</f>
        <v>41487</v>
      </c>
      <c r="P101">
        <v>26</v>
      </c>
      <c r="Q101">
        <v>27</v>
      </c>
      <c r="R101" s="2">
        <v>55.772965752314917</v>
      </c>
      <c r="T101" s="2">
        <v>55.772965752314917</v>
      </c>
      <c r="U101" t="s">
        <v>29</v>
      </c>
      <c r="V101" t="s">
        <v>29</v>
      </c>
      <c r="W101">
        <v>2777.777777777786</v>
      </c>
      <c r="X101">
        <v>277.77777777777777</v>
      </c>
      <c r="Y101">
        <v>14.699074074074119</v>
      </c>
    </row>
    <row r="102" spans="1:25" x14ac:dyDescent="0.25">
      <c r="A102">
        <v>1</v>
      </c>
      <c r="B102" s="1">
        <v>1001</v>
      </c>
      <c r="C102" s="2" t="s">
        <v>25</v>
      </c>
      <c r="D102" s="2">
        <v>21241.53</v>
      </c>
      <c r="E102" s="2">
        <v>9683.6325000000215</v>
      </c>
      <c r="F102" s="1">
        <v>36</v>
      </c>
      <c r="G102" s="1">
        <v>27</v>
      </c>
      <c r="H102" s="2" t="s">
        <v>26</v>
      </c>
      <c r="J102" s="2" t="s">
        <v>26</v>
      </c>
      <c r="K102" s="2" t="s">
        <v>26</v>
      </c>
      <c r="L102" s="2" t="s">
        <v>26</v>
      </c>
      <c r="M102" s="1">
        <v>2868</v>
      </c>
      <c r="N102" t="s">
        <v>31</v>
      </c>
      <c r="O102" s="5">
        <f>EDATE(O101,1)</f>
        <v>41518</v>
      </c>
      <c r="P102">
        <v>27</v>
      </c>
      <c r="Q102">
        <v>28</v>
      </c>
      <c r="R102" s="2">
        <v>53.507760532407524</v>
      </c>
      <c r="T102" s="2">
        <v>53.507760532407524</v>
      </c>
      <c r="U102" t="s">
        <v>29</v>
      </c>
      <c r="V102" t="s">
        <v>29</v>
      </c>
      <c r="W102">
        <v>2500.0000000000082</v>
      </c>
      <c r="X102">
        <v>277.77777777777777</v>
      </c>
      <c r="Y102">
        <v>13.229166666666709</v>
      </c>
    </row>
    <row r="103" spans="1:25" x14ac:dyDescent="0.25">
      <c r="A103">
        <v>1</v>
      </c>
      <c r="B103" s="1">
        <v>1001</v>
      </c>
      <c r="C103" s="2" t="s">
        <v>25</v>
      </c>
      <c r="D103" s="2">
        <v>21241.53</v>
      </c>
      <c r="E103" s="2">
        <v>9255.5622222222446</v>
      </c>
      <c r="F103" s="1">
        <v>36</v>
      </c>
      <c r="G103" s="1">
        <v>28</v>
      </c>
      <c r="H103" s="2" t="s">
        <v>26</v>
      </c>
      <c r="J103" s="2" t="s">
        <v>26</v>
      </c>
      <c r="K103" s="2" t="s">
        <v>26</v>
      </c>
      <c r="L103" s="2" t="s">
        <v>26</v>
      </c>
      <c r="M103" s="1">
        <v>2868</v>
      </c>
      <c r="N103" t="s">
        <v>31</v>
      </c>
      <c r="O103" s="5">
        <f>EDATE(O102,1)</f>
        <v>41548</v>
      </c>
      <c r="P103">
        <v>28</v>
      </c>
      <c r="Q103">
        <v>29</v>
      </c>
      <c r="R103" s="2">
        <v>51.242555312500116</v>
      </c>
      <c r="T103" s="2">
        <v>51.242555312500116</v>
      </c>
      <c r="U103" t="s">
        <v>29</v>
      </c>
      <c r="V103" t="s">
        <v>29</v>
      </c>
      <c r="W103">
        <v>2222.2222222222304</v>
      </c>
      <c r="X103">
        <v>277.77777777777777</v>
      </c>
      <c r="Y103">
        <v>11.759259259259302</v>
      </c>
    </row>
    <row r="104" spans="1:25" x14ac:dyDescent="0.25">
      <c r="A104">
        <v>1</v>
      </c>
      <c r="B104" s="1">
        <v>1001</v>
      </c>
      <c r="C104" s="2" t="s">
        <v>25</v>
      </c>
      <c r="D104" s="2">
        <v>21241.53</v>
      </c>
      <c r="E104" s="2">
        <v>8827.4919444444677</v>
      </c>
      <c r="F104" s="1">
        <v>36</v>
      </c>
      <c r="G104" s="1">
        <v>29</v>
      </c>
      <c r="H104" s="2" t="s">
        <v>26</v>
      </c>
      <c r="J104" s="2" t="s">
        <v>26</v>
      </c>
      <c r="K104" s="2" t="s">
        <v>26</v>
      </c>
      <c r="L104" s="2" t="s">
        <v>26</v>
      </c>
      <c r="M104" s="1">
        <v>2868</v>
      </c>
      <c r="N104" t="s">
        <v>31</v>
      </c>
      <c r="O104" s="5">
        <f>EDATE(O103,1)</f>
        <v>41579</v>
      </c>
      <c r="P104">
        <v>29</v>
      </c>
      <c r="Q104">
        <v>30</v>
      </c>
      <c r="R104" s="2">
        <v>48.977350092592708</v>
      </c>
      <c r="T104" s="2">
        <v>48.977350092592708</v>
      </c>
      <c r="U104" t="s">
        <v>29</v>
      </c>
      <c r="V104" t="s">
        <v>29</v>
      </c>
      <c r="W104">
        <v>1944.4444444444525</v>
      </c>
      <c r="X104">
        <v>277.77777777777777</v>
      </c>
      <c r="Y104">
        <v>10.289351851851896</v>
      </c>
    </row>
    <row r="105" spans="1:25" x14ac:dyDescent="0.25">
      <c r="A105">
        <v>1</v>
      </c>
      <c r="B105" s="1">
        <v>1001</v>
      </c>
      <c r="C105" s="2" t="s">
        <v>25</v>
      </c>
      <c r="D105" s="2">
        <v>21241.53</v>
      </c>
      <c r="E105" s="2">
        <v>8399.4216666666907</v>
      </c>
      <c r="F105" s="1">
        <v>36</v>
      </c>
      <c r="G105" s="1">
        <v>30</v>
      </c>
      <c r="H105" s="2" t="s">
        <v>26</v>
      </c>
      <c r="J105" s="2" t="s">
        <v>26</v>
      </c>
      <c r="K105" s="2" t="s">
        <v>26</v>
      </c>
      <c r="L105" s="2" t="s">
        <v>26</v>
      </c>
      <c r="M105" s="1">
        <v>2868</v>
      </c>
      <c r="N105" t="s">
        <v>31</v>
      </c>
      <c r="O105" s="5">
        <f>EDATE(O104,1)</f>
        <v>41609</v>
      </c>
      <c r="P105">
        <v>30</v>
      </c>
      <c r="Q105">
        <v>31</v>
      </c>
      <c r="R105" s="2">
        <v>46.712144872685307</v>
      </c>
      <c r="T105" s="2">
        <v>46.712144872685307</v>
      </c>
      <c r="U105" t="s">
        <v>29</v>
      </c>
      <c r="V105" t="s">
        <v>29</v>
      </c>
      <c r="W105">
        <v>1666.6666666666747</v>
      </c>
      <c r="X105">
        <v>277.77777777777777</v>
      </c>
      <c r="Y105">
        <v>8.8194444444444873</v>
      </c>
    </row>
    <row r="106" spans="1:25" x14ac:dyDescent="0.25">
      <c r="A106">
        <v>1</v>
      </c>
      <c r="B106" s="1">
        <v>1001</v>
      </c>
      <c r="C106" s="2" t="s">
        <v>25</v>
      </c>
      <c r="D106" s="2">
        <v>21241.53</v>
      </c>
      <c r="E106" s="2">
        <v>7971.3513888889129</v>
      </c>
      <c r="F106" s="1">
        <v>36</v>
      </c>
      <c r="G106" s="1">
        <v>31</v>
      </c>
      <c r="H106" s="2" t="s">
        <v>26</v>
      </c>
      <c r="J106" s="2" t="s">
        <v>26</v>
      </c>
      <c r="K106" s="2" t="s">
        <v>26</v>
      </c>
      <c r="L106" s="2" t="s">
        <v>26</v>
      </c>
      <c r="M106" s="1">
        <v>2868</v>
      </c>
      <c r="N106" t="s">
        <v>31</v>
      </c>
      <c r="O106" s="5">
        <f>EDATE(O105,1)</f>
        <v>41640</v>
      </c>
      <c r="P106">
        <v>31</v>
      </c>
      <c r="Q106">
        <v>32</v>
      </c>
      <c r="R106" s="2">
        <v>44.446939652777907</v>
      </c>
      <c r="T106" s="2">
        <v>44.446939652777907</v>
      </c>
      <c r="U106" t="s">
        <v>29</v>
      </c>
      <c r="V106" t="s">
        <v>29</v>
      </c>
      <c r="W106">
        <v>1388.8888888888969</v>
      </c>
      <c r="X106">
        <v>277.77777777777777</v>
      </c>
      <c r="Y106">
        <v>7.3495370370370798</v>
      </c>
    </row>
    <row r="107" spans="1:25" x14ac:dyDescent="0.25">
      <c r="A107">
        <v>1</v>
      </c>
      <c r="B107" s="1">
        <v>1001</v>
      </c>
      <c r="C107" s="2" t="s">
        <v>25</v>
      </c>
      <c r="D107" s="2">
        <v>21241.53</v>
      </c>
      <c r="E107" s="2">
        <v>7543.281111111135</v>
      </c>
      <c r="F107" s="1">
        <v>36</v>
      </c>
      <c r="G107" s="1">
        <v>32</v>
      </c>
      <c r="H107" s="2" t="s">
        <v>26</v>
      </c>
      <c r="J107" s="2" t="s">
        <v>26</v>
      </c>
      <c r="K107" s="2" t="s">
        <v>26</v>
      </c>
      <c r="L107" s="2" t="s">
        <v>26</v>
      </c>
      <c r="M107" s="1">
        <v>2868</v>
      </c>
      <c r="N107" t="s">
        <v>31</v>
      </c>
      <c r="O107" s="5">
        <f>EDATE(O106,1)</f>
        <v>41671</v>
      </c>
      <c r="P107">
        <v>32</v>
      </c>
      <c r="Q107">
        <v>33</v>
      </c>
      <c r="R107" s="2">
        <v>42.181734432870499</v>
      </c>
      <c r="T107" s="2">
        <v>42.181734432870499</v>
      </c>
      <c r="U107" t="s">
        <v>29</v>
      </c>
      <c r="V107" t="s">
        <v>29</v>
      </c>
      <c r="W107">
        <v>1111.111111111119</v>
      </c>
      <c r="X107">
        <v>277.77777777777777</v>
      </c>
      <c r="Y107">
        <v>5.8796296296296715</v>
      </c>
    </row>
    <row r="108" spans="1:25" x14ac:dyDescent="0.25">
      <c r="A108">
        <v>1</v>
      </c>
      <c r="B108" s="1">
        <v>1001</v>
      </c>
      <c r="C108" s="2" t="s">
        <v>25</v>
      </c>
      <c r="D108" s="2">
        <v>21241.53</v>
      </c>
      <c r="E108" s="2">
        <v>7115.2108333333572</v>
      </c>
      <c r="F108" s="1">
        <v>36</v>
      </c>
      <c r="G108" s="1">
        <v>33</v>
      </c>
      <c r="H108" s="2" t="s">
        <v>26</v>
      </c>
      <c r="J108" s="2" t="s">
        <v>26</v>
      </c>
      <c r="K108" s="2" t="s">
        <v>26</v>
      </c>
      <c r="L108" s="2" t="s">
        <v>26</v>
      </c>
      <c r="M108" s="1">
        <v>2868</v>
      </c>
      <c r="N108" t="s">
        <v>31</v>
      </c>
      <c r="O108" s="5">
        <f>EDATE(O107,1)</f>
        <v>41699</v>
      </c>
      <c r="P108">
        <v>33</v>
      </c>
      <c r="Q108">
        <v>34</v>
      </c>
      <c r="R108" s="2">
        <v>39.916529212963091</v>
      </c>
      <c r="T108" s="2">
        <v>39.916529212963091</v>
      </c>
      <c r="U108" t="s">
        <v>29</v>
      </c>
      <c r="V108" t="s">
        <v>29</v>
      </c>
      <c r="W108">
        <v>833.33333333334122</v>
      </c>
      <c r="X108">
        <v>277.77777777777777</v>
      </c>
      <c r="Y108">
        <v>4.4097222222222641</v>
      </c>
    </row>
    <row r="109" spans="1:25" x14ac:dyDescent="0.25">
      <c r="A109">
        <v>1</v>
      </c>
      <c r="B109" s="1">
        <v>1001</v>
      </c>
      <c r="C109" s="2" t="s">
        <v>25</v>
      </c>
      <c r="D109" s="2">
        <v>21241.53</v>
      </c>
      <c r="E109" s="2">
        <v>6687.1405555555793</v>
      </c>
      <c r="F109" s="1">
        <v>36</v>
      </c>
      <c r="G109" s="1">
        <v>34</v>
      </c>
      <c r="H109" s="2" t="s">
        <v>26</v>
      </c>
      <c r="J109" s="2" t="s">
        <v>26</v>
      </c>
      <c r="K109" s="2" t="s">
        <v>26</v>
      </c>
      <c r="L109" s="2" t="s">
        <v>26</v>
      </c>
      <c r="M109" s="1">
        <v>2868</v>
      </c>
      <c r="N109" t="s">
        <v>31</v>
      </c>
      <c r="O109" s="5">
        <f>EDATE(O108,1)</f>
        <v>41730</v>
      </c>
      <c r="P109">
        <v>34</v>
      </c>
      <c r="Q109">
        <v>35</v>
      </c>
      <c r="R109" s="2">
        <v>37.651323993055684</v>
      </c>
      <c r="T109" s="2">
        <v>37.651323993055684</v>
      </c>
      <c r="U109" t="s">
        <v>29</v>
      </c>
      <c r="V109" t="s">
        <v>29</v>
      </c>
      <c r="W109">
        <v>555.55555555556339</v>
      </c>
      <c r="X109">
        <v>277.77777777777777</v>
      </c>
      <c r="Y109">
        <v>2.9398148148148562</v>
      </c>
    </row>
    <row r="110" spans="1:25" x14ac:dyDescent="0.25">
      <c r="A110">
        <v>1</v>
      </c>
      <c r="B110" s="1">
        <v>1001</v>
      </c>
      <c r="C110" s="2" t="s">
        <v>25</v>
      </c>
      <c r="D110" s="2">
        <v>21241.53</v>
      </c>
      <c r="E110" s="2">
        <v>6259.0702777778015</v>
      </c>
      <c r="F110" s="1">
        <v>36</v>
      </c>
      <c r="G110" s="1">
        <v>35</v>
      </c>
      <c r="H110" s="2" t="s">
        <v>26</v>
      </c>
      <c r="J110" s="2" t="s">
        <v>26</v>
      </c>
      <c r="K110" s="2" t="s">
        <v>26</v>
      </c>
      <c r="L110" s="2" t="s">
        <v>26</v>
      </c>
      <c r="M110" s="1">
        <v>2868</v>
      </c>
      <c r="N110" t="s">
        <v>31</v>
      </c>
      <c r="O110" s="5">
        <f>EDATE(O109,1)</f>
        <v>41760</v>
      </c>
      <c r="P110">
        <v>35</v>
      </c>
      <c r="Q110">
        <v>36</v>
      </c>
      <c r="R110" s="2">
        <v>35.386118773148276</v>
      </c>
      <c r="T110" s="2">
        <v>35.386118773148276</v>
      </c>
      <c r="U110" t="s">
        <v>29</v>
      </c>
      <c r="V110" t="s">
        <v>29</v>
      </c>
      <c r="W110">
        <v>277.77777777778562</v>
      </c>
      <c r="X110">
        <v>277.77777777777777</v>
      </c>
      <c r="Y110">
        <v>1.469907407407449</v>
      </c>
    </row>
    <row r="111" spans="1:25" x14ac:dyDescent="0.25">
      <c r="A111">
        <v>1</v>
      </c>
      <c r="B111" s="1">
        <v>1001</v>
      </c>
      <c r="C111" s="2" t="s">
        <v>25</v>
      </c>
      <c r="D111" s="2">
        <v>21241.53</v>
      </c>
      <c r="E111" s="2">
        <v>5831.0000000000236</v>
      </c>
      <c r="F111" s="1">
        <v>36</v>
      </c>
      <c r="G111" s="1">
        <v>36</v>
      </c>
      <c r="H111" s="2" t="s">
        <v>26</v>
      </c>
      <c r="J111" s="2" t="s">
        <v>26</v>
      </c>
      <c r="K111" s="2" t="s">
        <v>26</v>
      </c>
      <c r="L111" s="2" t="s">
        <v>26</v>
      </c>
      <c r="M111" s="1">
        <v>2868</v>
      </c>
      <c r="N111" t="s">
        <v>31</v>
      </c>
      <c r="O111" s="5">
        <f>EDATE(O110,1)</f>
        <v>41791</v>
      </c>
      <c r="P111">
        <v>36</v>
      </c>
      <c r="Q111">
        <v>37</v>
      </c>
      <c r="R111" s="2">
        <v>33.120913553240868</v>
      </c>
      <c r="T111" s="2">
        <v>33.120913553240868</v>
      </c>
      <c r="U111" t="s">
        <v>29</v>
      </c>
      <c r="V111" t="s">
        <v>29</v>
      </c>
      <c r="W111">
        <v>7.8443918027915061E-12</v>
      </c>
      <c r="X111">
        <v>277.77777777777777</v>
      </c>
      <c r="Y111">
        <v>4.150990662310505E-14</v>
      </c>
    </row>
    <row r="112" spans="1:25" x14ac:dyDescent="0.25">
      <c r="A112">
        <v>1</v>
      </c>
      <c r="B112" s="1">
        <v>1001</v>
      </c>
      <c r="C112" s="2" t="s">
        <v>25</v>
      </c>
      <c r="D112" s="2">
        <v>21241.53</v>
      </c>
      <c r="E112" s="2">
        <v>5402.9297222222458</v>
      </c>
      <c r="F112" s="1">
        <v>36</v>
      </c>
      <c r="G112" s="1">
        <v>37</v>
      </c>
      <c r="H112" s="2" t="s">
        <v>26</v>
      </c>
      <c r="J112" s="2" t="s">
        <v>26</v>
      </c>
      <c r="K112" s="2">
        <v>10000</v>
      </c>
      <c r="L112" s="2" t="s">
        <v>26</v>
      </c>
      <c r="M112" s="1">
        <v>2868</v>
      </c>
      <c r="N112" t="s">
        <v>31</v>
      </c>
      <c r="O112" s="5">
        <f>EDATE(O111,1)</f>
        <v>41821</v>
      </c>
      <c r="P112">
        <v>37</v>
      </c>
      <c r="Q112">
        <v>999</v>
      </c>
      <c r="R112" s="2">
        <v>0</v>
      </c>
      <c r="T112" s="2">
        <v>0</v>
      </c>
      <c r="U112" t="s">
        <v>29</v>
      </c>
      <c r="V112" t="s">
        <v>29</v>
      </c>
      <c r="W112">
        <v>-277.77777777776993</v>
      </c>
      <c r="X112">
        <v>277.77777777777777</v>
      </c>
      <c r="Y112">
        <v>-1.4699074074073659</v>
      </c>
    </row>
    <row r="113" spans="1:25" x14ac:dyDescent="0.25">
      <c r="A113">
        <v>1</v>
      </c>
      <c r="B113" s="1">
        <v>1001</v>
      </c>
      <c r="C113" s="2" t="s">
        <v>25</v>
      </c>
      <c r="D113" s="2">
        <v>21241.53</v>
      </c>
      <c r="E113" s="2">
        <v>20813.459722222222</v>
      </c>
      <c r="F113" s="1">
        <v>36</v>
      </c>
      <c r="G113" s="1">
        <v>1</v>
      </c>
      <c r="H113" s="2" t="s">
        <v>26</v>
      </c>
      <c r="J113" s="2" t="s">
        <v>26</v>
      </c>
      <c r="K113" s="2" t="s">
        <v>26</v>
      </c>
      <c r="L113" s="2" t="s">
        <v>26</v>
      </c>
      <c r="M113" s="1">
        <v>2872</v>
      </c>
      <c r="N113" t="s">
        <v>32</v>
      </c>
      <c r="O113" s="5">
        <v>40725</v>
      </c>
      <c r="P113">
        <v>1</v>
      </c>
      <c r="Q113">
        <v>2</v>
      </c>
      <c r="R113" s="2">
        <v>0</v>
      </c>
      <c r="T113" s="2">
        <v>0</v>
      </c>
      <c r="U113" t="s">
        <v>29</v>
      </c>
      <c r="V113" t="s">
        <v>29</v>
      </c>
      <c r="W113">
        <v>9722.2222222222226</v>
      </c>
      <c r="X113">
        <v>277.77777777777777</v>
      </c>
      <c r="Y113">
        <v>51.446759259259267</v>
      </c>
    </row>
    <row r="114" spans="1:25" x14ac:dyDescent="0.25">
      <c r="A114">
        <v>1</v>
      </c>
      <c r="B114" s="1">
        <v>1001</v>
      </c>
      <c r="C114" s="2" t="s">
        <v>25</v>
      </c>
      <c r="D114" s="2">
        <v>21241.53</v>
      </c>
      <c r="E114" s="2">
        <v>20385.389444444445</v>
      </c>
      <c r="F114" s="1">
        <v>36</v>
      </c>
      <c r="G114" s="1">
        <v>2</v>
      </c>
      <c r="H114" s="2" t="s">
        <v>26</v>
      </c>
      <c r="J114" s="2" t="s">
        <v>26</v>
      </c>
      <c r="K114" s="2" t="s">
        <v>26</v>
      </c>
      <c r="L114" s="2" t="s">
        <v>26</v>
      </c>
      <c r="M114" s="1">
        <v>2872</v>
      </c>
      <c r="N114" t="s">
        <v>32</v>
      </c>
      <c r="O114" s="5">
        <f>EDATE(O113,1)</f>
        <v>40756</v>
      </c>
      <c r="P114">
        <v>2</v>
      </c>
      <c r="Q114">
        <v>3</v>
      </c>
      <c r="R114" s="2">
        <v>0</v>
      </c>
      <c r="T114" s="2">
        <v>0</v>
      </c>
      <c r="U114" t="s">
        <v>29</v>
      </c>
      <c r="V114" t="s">
        <v>29</v>
      </c>
      <c r="W114">
        <v>9444.4444444444453</v>
      </c>
      <c r="X114">
        <v>277.77777777777777</v>
      </c>
      <c r="Y114">
        <v>49.976851851851855</v>
      </c>
    </row>
    <row r="115" spans="1:25" x14ac:dyDescent="0.25">
      <c r="A115">
        <v>1</v>
      </c>
      <c r="B115" s="1">
        <v>1001</v>
      </c>
      <c r="C115" s="2" t="s">
        <v>25</v>
      </c>
      <c r="D115" s="2">
        <v>21241.53</v>
      </c>
      <c r="E115" s="2">
        <v>19957.319166666668</v>
      </c>
      <c r="F115" s="1">
        <v>36</v>
      </c>
      <c r="G115" s="1">
        <v>3</v>
      </c>
      <c r="H115" s="2" t="s">
        <v>26</v>
      </c>
      <c r="J115" s="2" t="s">
        <v>26</v>
      </c>
      <c r="K115" s="2" t="s">
        <v>26</v>
      </c>
      <c r="L115" s="2" t="s">
        <v>26</v>
      </c>
      <c r="M115" s="1">
        <v>2872</v>
      </c>
      <c r="N115" t="s">
        <v>32</v>
      </c>
      <c r="O115" s="5">
        <f>EDATE(O114,1)</f>
        <v>40787</v>
      </c>
      <c r="P115">
        <v>3</v>
      </c>
      <c r="Q115">
        <v>4</v>
      </c>
      <c r="R115" s="2">
        <v>0</v>
      </c>
      <c r="T115" s="2">
        <v>0</v>
      </c>
      <c r="U115" t="s">
        <v>29</v>
      </c>
      <c r="V115" t="s">
        <v>29</v>
      </c>
      <c r="W115">
        <v>9166.6666666666679</v>
      </c>
      <c r="X115">
        <v>277.77777777777777</v>
      </c>
      <c r="Y115">
        <v>48.50694444444445</v>
      </c>
    </row>
    <row r="116" spans="1:25" x14ac:dyDescent="0.25">
      <c r="A116">
        <v>1</v>
      </c>
      <c r="B116" s="1">
        <v>1001</v>
      </c>
      <c r="C116" s="2" t="s">
        <v>25</v>
      </c>
      <c r="D116" s="2">
        <v>21241.53</v>
      </c>
      <c r="E116" s="2">
        <v>19529.248888888891</v>
      </c>
      <c r="F116" s="1">
        <v>36</v>
      </c>
      <c r="G116" s="1">
        <v>4</v>
      </c>
      <c r="H116" s="2" t="s">
        <v>26</v>
      </c>
      <c r="J116" s="2" t="s">
        <v>26</v>
      </c>
      <c r="K116" s="2" t="s">
        <v>26</v>
      </c>
      <c r="L116" s="2" t="s">
        <v>26</v>
      </c>
      <c r="M116" s="1">
        <v>2872</v>
      </c>
      <c r="N116" t="s">
        <v>32</v>
      </c>
      <c r="O116" s="5">
        <f>EDATE(O115,1)</f>
        <v>40817</v>
      </c>
      <c r="P116">
        <v>4</v>
      </c>
      <c r="Q116">
        <v>5</v>
      </c>
      <c r="R116" s="2">
        <v>0</v>
      </c>
      <c r="T116" s="2">
        <v>0</v>
      </c>
      <c r="U116" t="s">
        <v>29</v>
      </c>
      <c r="V116" t="s">
        <v>29</v>
      </c>
      <c r="W116">
        <v>8888.8888888888905</v>
      </c>
      <c r="X116">
        <v>277.77777777777777</v>
      </c>
      <c r="Y116">
        <v>47.037037037037045</v>
      </c>
    </row>
    <row r="117" spans="1:25" x14ac:dyDescent="0.25">
      <c r="A117">
        <v>1</v>
      </c>
      <c r="B117" s="1">
        <v>1001</v>
      </c>
      <c r="C117" s="2" t="s">
        <v>25</v>
      </c>
      <c r="D117" s="2">
        <v>21241.53</v>
      </c>
      <c r="E117" s="2">
        <v>19101.178611111114</v>
      </c>
      <c r="F117" s="1">
        <v>36</v>
      </c>
      <c r="G117" s="1">
        <v>5</v>
      </c>
      <c r="H117" s="2" t="s">
        <v>26</v>
      </c>
      <c r="J117" s="2" t="s">
        <v>26</v>
      </c>
      <c r="K117" s="2" t="s">
        <v>26</v>
      </c>
      <c r="L117" s="2" t="s">
        <v>26</v>
      </c>
      <c r="M117" s="1">
        <v>2872</v>
      </c>
      <c r="N117" t="s">
        <v>32</v>
      </c>
      <c r="O117" s="5">
        <f>EDATE(O116,1)</f>
        <v>40848</v>
      </c>
      <c r="P117">
        <v>5</v>
      </c>
      <c r="Q117">
        <v>6</v>
      </c>
      <c r="R117" s="2">
        <v>0</v>
      </c>
      <c r="T117" s="2">
        <v>0</v>
      </c>
      <c r="U117" t="s">
        <v>29</v>
      </c>
      <c r="V117" t="s">
        <v>29</v>
      </c>
      <c r="W117">
        <v>8611.1111111111131</v>
      </c>
      <c r="X117">
        <v>277.77777777777777</v>
      </c>
      <c r="Y117">
        <v>45.56712962962964</v>
      </c>
    </row>
    <row r="118" spans="1:25" x14ac:dyDescent="0.25">
      <c r="A118">
        <v>1</v>
      </c>
      <c r="B118" s="1">
        <v>1001</v>
      </c>
      <c r="C118" s="2" t="s">
        <v>25</v>
      </c>
      <c r="D118" s="2">
        <v>21241.53</v>
      </c>
      <c r="E118" s="2">
        <v>18673.108333333337</v>
      </c>
      <c r="F118" s="1">
        <v>36</v>
      </c>
      <c r="G118" s="1">
        <v>6</v>
      </c>
      <c r="H118" s="2" t="s">
        <v>26</v>
      </c>
      <c r="J118" s="2" t="s">
        <v>26</v>
      </c>
      <c r="K118" s="2" t="s">
        <v>26</v>
      </c>
      <c r="L118" s="2" t="s">
        <v>26</v>
      </c>
      <c r="M118" s="1">
        <v>2872</v>
      </c>
      <c r="N118" t="s">
        <v>32</v>
      </c>
      <c r="O118" s="5">
        <f>EDATE(O117,1)</f>
        <v>40878</v>
      </c>
      <c r="P118">
        <v>6</v>
      </c>
      <c r="Q118">
        <v>7</v>
      </c>
      <c r="R118" s="2">
        <v>0</v>
      </c>
      <c r="T118" s="2">
        <v>0</v>
      </c>
      <c r="U118" t="s">
        <v>29</v>
      </c>
      <c r="V118" t="s">
        <v>29</v>
      </c>
      <c r="W118">
        <v>8333.3333333333358</v>
      </c>
      <c r="X118">
        <v>277.77777777777777</v>
      </c>
      <c r="Y118">
        <v>44.097222222222236</v>
      </c>
    </row>
    <row r="119" spans="1:25" x14ac:dyDescent="0.25">
      <c r="A119">
        <v>1</v>
      </c>
      <c r="B119" s="1">
        <v>1001</v>
      </c>
      <c r="C119" s="2" t="s">
        <v>25</v>
      </c>
      <c r="D119" s="2">
        <v>21241.53</v>
      </c>
      <c r="E119" s="2">
        <v>18245.03805555556</v>
      </c>
      <c r="F119" s="1">
        <v>36</v>
      </c>
      <c r="G119" s="1">
        <v>7</v>
      </c>
      <c r="H119" s="2" t="s">
        <v>26</v>
      </c>
      <c r="J119" s="2" t="s">
        <v>26</v>
      </c>
      <c r="K119" s="2" t="s">
        <v>26</v>
      </c>
      <c r="L119" s="2" t="s">
        <v>26</v>
      </c>
      <c r="M119" s="1">
        <v>2872</v>
      </c>
      <c r="N119" t="s">
        <v>32</v>
      </c>
      <c r="O119" s="5">
        <f>EDATE(O118,1)</f>
        <v>40909</v>
      </c>
      <c r="P119">
        <v>7</v>
      </c>
      <c r="Q119">
        <v>8</v>
      </c>
      <c r="R119" s="2">
        <v>0</v>
      </c>
      <c r="T119" s="2">
        <v>0</v>
      </c>
      <c r="U119" t="s">
        <v>29</v>
      </c>
      <c r="V119" t="s">
        <v>29</v>
      </c>
      <c r="W119">
        <v>8055.5555555555584</v>
      </c>
      <c r="X119">
        <v>277.77777777777777</v>
      </c>
      <c r="Y119">
        <v>42.627314814814831</v>
      </c>
    </row>
    <row r="120" spans="1:25" x14ac:dyDescent="0.25">
      <c r="A120">
        <v>1</v>
      </c>
      <c r="B120" s="1">
        <v>1001</v>
      </c>
      <c r="C120" s="2" t="s">
        <v>25</v>
      </c>
      <c r="D120" s="2">
        <v>21241.53</v>
      </c>
      <c r="E120" s="2">
        <v>17816.967777777783</v>
      </c>
      <c r="F120" s="1">
        <v>36</v>
      </c>
      <c r="G120" s="1">
        <v>8</v>
      </c>
      <c r="H120" s="2" t="s">
        <v>26</v>
      </c>
      <c r="J120" s="2" t="s">
        <v>26</v>
      </c>
      <c r="K120" s="2" t="s">
        <v>26</v>
      </c>
      <c r="L120" s="2" t="s">
        <v>26</v>
      </c>
      <c r="M120" s="1">
        <v>2872</v>
      </c>
      <c r="N120" t="s">
        <v>32</v>
      </c>
      <c r="O120" s="5">
        <f>EDATE(O119,1)</f>
        <v>40940</v>
      </c>
      <c r="P120">
        <v>8</v>
      </c>
      <c r="Q120">
        <v>9</v>
      </c>
      <c r="R120" s="2">
        <v>0</v>
      </c>
      <c r="T120" s="2">
        <v>0</v>
      </c>
      <c r="U120" t="s">
        <v>29</v>
      </c>
      <c r="V120" t="s">
        <v>29</v>
      </c>
      <c r="W120">
        <v>7777.777777777781</v>
      </c>
      <c r="X120">
        <v>277.77777777777777</v>
      </c>
      <c r="Y120">
        <v>41.157407407407426</v>
      </c>
    </row>
    <row r="121" spans="1:25" x14ac:dyDescent="0.25">
      <c r="A121">
        <v>1</v>
      </c>
      <c r="B121" s="1">
        <v>1001</v>
      </c>
      <c r="C121" s="2" t="s">
        <v>25</v>
      </c>
      <c r="D121" s="2">
        <v>21241.53</v>
      </c>
      <c r="E121" s="2">
        <v>17388.897500000006</v>
      </c>
      <c r="F121" s="1">
        <v>36</v>
      </c>
      <c r="G121" s="1">
        <v>9</v>
      </c>
      <c r="H121" s="2" t="s">
        <v>26</v>
      </c>
      <c r="J121" s="2" t="s">
        <v>26</v>
      </c>
      <c r="K121" s="2" t="s">
        <v>26</v>
      </c>
      <c r="L121" s="2" t="s">
        <v>26</v>
      </c>
      <c r="M121" s="1">
        <v>2872</v>
      </c>
      <c r="N121" t="s">
        <v>32</v>
      </c>
      <c r="O121" s="5">
        <f>EDATE(O120,1)</f>
        <v>40969</v>
      </c>
      <c r="P121">
        <v>9</v>
      </c>
      <c r="Q121">
        <v>10</v>
      </c>
      <c r="R121" s="2">
        <v>0</v>
      </c>
      <c r="T121" s="2">
        <v>0</v>
      </c>
      <c r="U121" t="s">
        <v>29</v>
      </c>
      <c r="V121" t="s">
        <v>29</v>
      </c>
      <c r="W121">
        <v>7500.0000000000036</v>
      </c>
      <c r="X121">
        <v>277.77777777777777</v>
      </c>
      <c r="Y121">
        <v>39.687500000000021</v>
      </c>
    </row>
    <row r="122" spans="1:25" x14ac:dyDescent="0.25">
      <c r="A122">
        <v>1</v>
      </c>
      <c r="B122" s="1">
        <v>1001</v>
      </c>
      <c r="C122" s="2" t="s">
        <v>25</v>
      </c>
      <c r="D122" s="2">
        <v>21241.53</v>
      </c>
      <c r="E122" s="2">
        <v>16960.827222222229</v>
      </c>
      <c r="F122" s="1">
        <v>36</v>
      </c>
      <c r="G122" s="1">
        <v>10</v>
      </c>
      <c r="H122" s="2" t="s">
        <v>26</v>
      </c>
      <c r="J122" s="2" t="s">
        <v>26</v>
      </c>
      <c r="K122" s="2" t="s">
        <v>26</v>
      </c>
      <c r="L122" s="2" t="s">
        <v>26</v>
      </c>
      <c r="M122" s="1">
        <v>2872</v>
      </c>
      <c r="N122" t="s">
        <v>32</v>
      </c>
      <c r="O122" s="5">
        <f>EDATE(O121,1)</f>
        <v>41000</v>
      </c>
      <c r="P122">
        <v>10</v>
      </c>
      <c r="Q122">
        <v>11</v>
      </c>
      <c r="R122" s="2">
        <v>0</v>
      </c>
      <c r="T122" s="2">
        <v>0</v>
      </c>
      <c r="U122" t="s">
        <v>29</v>
      </c>
      <c r="V122" t="s">
        <v>29</v>
      </c>
      <c r="W122">
        <v>7222.2222222222263</v>
      </c>
      <c r="X122">
        <v>277.77777777777777</v>
      </c>
      <c r="Y122">
        <v>38.217592592592617</v>
      </c>
    </row>
    <row r="123" spans="1:25" x14ac:dyDescent="0.25">
      <c r="A123">
        <v>1</v>
      </c>
      <c r="B123" s="1">
        <v>1001</v>
      </c>
      <c r="C123" s="2" t="s">
        <v>25</v>
      </c>
      <c r="D123" s="2">
        <v>21241.53</v>
      </c>
      <c r="E123" s="2">
        <v>16532.756944444453</v>
      </c>
      <c r="F123" s="1">
        <v>36</v>
      </c>
      <c r="G123" s="1">
        <v>11</v>
      </c>
      <c r="H123" s="2" t="s">
        <v>26</v>
      </c>
      <c r="J123" s="2" t="s">
        <v>26</v>
      </c>
      <c r="K123" s="2" t="s">
        <v>26</v>
      </c>
      <c r="L123" s="2" t="s">
        <v>26</v>
      </c>
      <c r="M123" s="1">
        <v>2872</v>
      </c>
      <c r="N123" t="s">
        <v>32</v>
      </c>
      <c r="O123" s="5">
        <f>EDATE(O122,1)</f>
        <v>41030</v>
      </c>
      <c r="P123">
        <v>11</v>
      </c>
      <c r="Q123">
        <v>12</v>
      </c>
      <c r="R123" s="2">
        <v>0</v>
      </c>
      <c r="T123" s="2">
        <v>0</v>
      </c>
      <c r="U123" t="s">
        <v>29</v>
      </c>
      <c r="V123" t="s">
        <v>29</v>
      </c>
      <c r="W123">
        <v>6944.4444444444489</v>
      </c>
      <c r="X123">
        <v>277.77777777777777</v>
      </c>
      <c r="Y123">
        <v>36.747685185185212</v>
      </c>
    </row>
    <row r="124" spans="1:25" x14ac:dyDescent="0.25">
      <c r="A124">
        <v>1</v>
      </c>
      <c r="B124" s="1">
        <v>1001</v>
      </c>
      <c r="C124" s="2" t="s">
        <v>25</v>
      </c>
      <c r="D124" s="2">
        <v>21241.53</v>
      </c>
      <c r="E124" s="2">
        <v>16104.686666666676</v>
      </c>
      <c r="F124" s="1">
        <v>36</v>
      </c>
      <c r="G124" s="1">
        <v>12</v>
      </c>
      <c r="H124" s="2" t="s">
        <v>26</v>
      </c>
      <c r="J124" s="2" t="s">
        <v>26</v>
      </c>
      <c r="K124" s="2" t="s">
        <v>26</v>
      </c>
      <c r="L124" s="2" t="s">
        <v>26</v>
      </c>
      <c r="M124" s="1">
        <v>2872</v>
      </c>
      <c r="N124" t="s">
        <v>32</v>
      </c>
      <c r="O124" s="5">
        <f>EDATE(O123,1)</f>
        <v>41061</v>
      </c>
      <c r="P124">
        <v>12</v>
      </c>
      <c r="Q124">
        <v>13</v>
      </c>
      <c r="R124" s="2">
        <v>0</v>
      </c>
      <c r="T124" s="2">
        <v>0</v>
      </c>
      <c r="U124" t="s">
        <v>29</v>
      </c>
      <c r="V124" t="s">
        <v>29</v>
      </c>
      <c r="W124">
        <v>6666.6666666666715</v>
      </c>
      <c r="X124">
        <v>277.77777777777777</v>
      </c>
      <c r="Y124">
        <v>35.277777777777807</v>
      </c>
    </row>
    <row r="125" spans="1:25" x14ac:dyDescent="0.25">
      <c r="A125">
        <v>1</v>
      </c>
      <c r="B125" s="1">
        <v>1001</v>
      </c>
      <c r="C125" s="2" t="s">
        <v>25</v>
      </c>
      <c r="D125" s="2">
        <v>21241.53</v>
      </c>
      <c r="E125" s="2">
        <v>15676.616388888899</v>
      </c>
      <c r="F125" s="1">
        <v>36</v>
      </c>
      <c r="G125" s="1">
        <v>13</v>
      </c>
      <c r="H125" s="2" t="s">
        <v>26</v>
      </c>
      <c r="J125" s="2" t="s">
        <v>26</v>
      </c>
      <c r="K125" s="2" t="s">
        <v>26</v>
      </c>
      <c r="L125" s="2" t="s">
        <v>26</v>
      </c>
      <c r="M125" s="1">
        <v>2872</v>
      </c>
      <c r="N125" t="s">
        <v>32</v>
      </c>
      <c r="O125" s="5">
        <f>EDATE(O124,1)</f>
        <v>41091</v>
      </c>
      <c r="P125">
        <v>13</v>
      </c>
      <c r="Q125">
        <v>14</v>
      </c>
      <c r="R125" s="2">
        <v>0</v>
      </c>
      <c r="T125" s="2">
        <v>0</v>
      </c>
      <c r="U125" t="s">
        <v>29</v>
      </c>
      <c r="V125" t="s">
        <v>29</v>
      </c>
      <c r="W125">
        <v>6388.8888888888941</v>
      </c>
      <c r="X125">
        <v>277.77777777777777</v>
      </c>
      <c r="Y125">
        <v>33.807870370370402</v>
      </c>
    </row>
    <row r="126" spans="1:25" x14ac:dyDescent="0.25">
      <c r="A126">
        <v>1</v>
      </c>
      <c r="B126" s="1">
        <v>1001</v>
      </c>
      <c r="C126" s="2" t="s">
        <v>25</v>
      </c>
      <c r="D126" s="2">
        <v>21241.53</v>
      </c>
      <c r="E126" s="2">
        <v>15248.546111111122</v>
      </c>
      <c r="F126" s="1">
        <v>36</v>
      </c>
      <c r="G126" s="1">
        <v>14</v>
      </c>
      <c r="H126" s="2" t="s">
        <v>26</v>
      </c>
      <c r="J126" s="2" t="s">
        <v>26</v>
      </c>
      <c r="K126" s="2" t="s">
        <v>26</v>
      </c>
      <c r="L126" s="2" t="s">
        <v>26</v>
      </c>
      <c r="M126" s="1">
        <v>2872</v>
      </c>
      <c r="N126" t="s">
        <v>32</v>
      </c>
      <c r="O126" s="5">
        <f>EDATE(O125,1)</f>
        <v>41122</v>
      </c>
      <c r="P126">
        <v>14</v>
      </c>
      <c r="Q126">
        <v>15</v>
      </c>
      <c r="R126" s="2">
        <v>0</v>
      </c>
      <c r="T126" s="2">
        <v>0</v>
      </c>
      <c r="U126" t="s">
        <v>29</v>
      </c>
      <c r="V126" t="s">
        <v>29</v>
      </c>
      <c r="W126">
        <v>6111.1111111111168</v>
      </c>
      <c r="X126">
        <v>277.77777777777777</v>
      </c>
      <c r="Y126">
        <v>32.337962962962997</v>
      </c>
    </row>
    <row r="127" spans="1:25" x14ac:dyDescent="0.25">
      <c r="A127">
        <v>1</v>
      </c>
      <c r="B127" s="1">
        <v>1001</v>
      </c>
      <c r="C127" s="2" t="s">
        <v>25</v>
      </c>
      <c r="D127" s="2">
        <v>21241.53</v>
      </c>
      <c r="E127" s="2">
        <v>14820.475833333345</v>
      </c>
      <c r="F127" s="1">
        <v>36</v>
      </c>
      <c r="G127" s="1">
        <v>15</v>
      </c>
      <c r="H127" s="2" t="s">
        <v>26</v>
      </c>
      <c r="J127" s="2" t="s">
        <v>26</v>
      </c>
      <c r="K127" s="2" t="s">
        <v>26</v>
      </c>
      <c r="L127" s="2" t="s">
        <v>26</v>
      </c>
      <c r="M127" s="1">
        <v>2872</v>
      </c>
      <c r="N127" t="s">
        <v>32</v>
      </c>
      <c r="O127" s="5">
        <f>EDATE(O126,1)</f>
        <v>41153</v>
      </c>
      <c r="P127">
        <v>15</v>
      </c>
      <c r="Q127">
        <v>16</v>
      </c>
      <c r="R127" s="2">
        <v>0</v>
      </c>
      <c r="T127" s="2">
        <v>0</v>
      </c>
      <c r="U127" t="s">
        <v>29</v>
      </c>
      <c r="V127" t="s">
        <v>29</v>
      </c>
      <c r="W127">
        <v>5833.3333333333394</v>
      </c>
      <c r="X127">
        <v>277.77777777777777</v>
      </c>
      <c r="Y127">
        <v>30.868055555555589</v>
      </c>
    </row>
    <row r="128" spans="1:25" x14ac:dyDescent="0.25">
      <c r="A128">
        <v>1</v>
      </c>
      <c r="B128" s="1">
        <v>1001</v>
      </c>
      <c r="C128" s="2" t="s">
        <v>25</v>
      </c>
      <c r="D128" s="2">
        <v>21241.53</v>
      </c>
      <c r="E128" s="2">
        <v>14392.405555555568</v>
      </c>
      <c r="F128" s="1">
        <v>36</v>
      </c>
      <c r="G128" s="1">
        <v>16</v>
      </c>
      <c r="H128" s="2" t="s">
        <v>26</v>
      </c>
      <c r="J128" s="2" t="s">
        <v>26</v>
      </c>
      <c r="K128" s="2" t="s">
        <v>26</v>
      </c>
      <c r="L128" s="2" t="s">
        <v>26</v>
      </c>
      <c r="M128" s="1">
        <v>2872</v>
      </c>
      <c r="N128" t="s">
        <v>32</v>
      </c>
      <c r="O128" s="5">
        <f>EDATE(O127,1)</f>
        <v>41183</v>
      </c>
      <c r="P128">
        <v>16</v>
      </c>
      <c r="Q128">
        <v>17</v>
      </c>
      <c r="R128" s="2">
        <v>0</v>
      </c>
      <c r="T128" s="2">
        <v>0</v>
      </c>
      <c r="U128" t="s">
        <v>29</v>
      </c>
      <c r="V128" t="s">
        <v>29</v>
      </c>
      <c r="W128">
        <v>5555.555555555562</v>
      </c>
      <c r="X128">
        <v>277.77777777777777</v>
      </c>
      <c r="Y128">
        <v>29.398148148148181</v>
      </c>
    </row>
    <row r="129" spans="1:25" x14ac:dyDescent="0.25">
      <c r="A129">
        <v>1</v>
      </c>
      <c r="B129" s="1">
        <v>1001</v>
      </c>
      <c r="C129" s="2" t="s">
        <v>25</v>
      </c>
      <c r="D129" s="2">
        <v>21241.53</v>
      </c>
      <c r="E129" s="2">
        <v>13964.335277777791</v>
      </c>
      <c r="F129" s="1">
        <v>36</v>
      </c>
      <c r="G129" s="1">
        <v>17</v>
      </c>
      <c r="H129" s="2" t="s">
        <v>26</v>
      </c>
      <c r="J129" s="2" t="s">
        <v>26</v>
      </c>
      <c r="K129" s="2" t="s">
        <v>26</v>
      </c>
      <c r="L129" s="2" t="s">
        <v>26</v>
      </c>
      <c r="M129" s="1">
        <v>2872</v>
      </c>
      <c r="N129" t="s">
        <v>32</v>
      </c>
      <c r="O129" s="5">
        <f>EDATE(O128,1)</f>
        <v>41214</v>
      </c>
      <c r="P129">
        <v>17</v>
      </c>
      <c r="Q129">
        <v>18</v>
      </c>
      <c r="R129" s="2">
        <v>0</v>
      </c>
      <c r="T129" s="2">
        <v>0</v>
      </c>
      <c r="U129" t="s">
        <v>29</v>
      </c>
      <c r="V129" t="s">
        <v>29</v>
      </c>
      <c r="W129">
        <v>5277.7777777777846</v>
      </c>
      <c r="X129">
        <v>277.77777777777777</v>
      </c>
      <c r="Y129">
        <v>27.928240740740776</v>
      </c>
    </row>
    <row r="130" spans="1:25" x14ac:dyDescent="0.25">
      <c r="A130">
        <v>1</v>
      </c>
      <c r="B130" s="1">
        <v>1001</v>
      </c>
      <c r="C130" s="2" t="s">
        <v>25</v>
      </c>
      <c r="D130" s="2">
        <v>21241.53</v>
      </c>
      <c r="E130" s="2">
        <v>13536.265000000014</v>
      </c>
      <c r="F130" s="1">
        <v>36</v>
      </c>
      <c r="G130" s="1">
        <v>18</v>
      </c>
      <c r="H130" s="2" t="s">
        <v>26</v>
      </c>
      <c r="J130" s="2" t="s">
        <v>26</v>
      </c>
      <c r="K130" s="2" t="s">
        <v>26</v>
      </c>
      <c r="L130" s="2" t="s">
        <v>26</v>
      </c>
      <c r="M130" s="1">
        <v>2872</v>
      </c>
      <c r="N130" t="s">
        <v>32</v>
      </c>
      <c r="O130" s="5">
        <f>EDATE(O129,1)</f>
        <v>41244</v>
      </c>
      <c r="P130">
        <v>18</v>
      </c>
      <c r="Q130">
        <v>19</v>
      </c>
      <c r="R130" s="2">
        <v>0</v>
      </c>
      <c r="T130" s="2">
        <v>0</v>
      </c>
      <c r="U130" t="s">
        <v>29</v>
      </c>
      <c r="V130" t="s">
        <v>29</v>
      </c>
      <c r="W130">
        <v>5000.0000000000073</v>
      </c>
      <c r="X130">
        <v>277.77777777777777</v>
      </c>
      <c r="Y130">
        <v>26.458333333333371</v>
      </c>
    </row>
    <row r="131" spans="1:25" x14ac:dyDescent="0.25">
      <c r="A131">
        <v>1</v>
      </c>
      <c r="B131" s="1">
        <v>1001</v>
      </c>
      <c r="C131" s="2" t="s">
        <v>25</v>
      </c>
      <c r="D131" s="2">
        <v>21241.53</v>
      </c>
      <c r="E131" s="2">
        <v>13108.194722222237</v>
      </c>
      <c r="F131" s="1">
        <v>36</v>
      </c>
      <c r="G131" s="1">
        <v>19</v>
      </c>
      <c r="H131" s="2" t="s">
        <v>26</v>
      </c>
      <c r="J131" s="2" t="s">
        <v>26</v>
      </c>
      <c r="K131" s="2" t="s">
        <v>26</v>
      </c>
      <c r="L131" s="2" t="s">
        <v>26</v>
      </c>
      <c r="M131" s="1">
        <v>2872</v>
      </c>
      <c r="N131" t="s">
        <v>32</v>
      </c>
      <c r="O131" s="5">
        <f>EDATE(O130,1)</f>
        <v>41275</v>
      </c>
      <c r="P131">
        <v>19</v>
      </c>
      <c r="Q131">
        <v>20</v>
      </c>
      <c r="R131" s="2">
        <v>0</v>
      </c>
      <c r="T131" s="2">
        <v>0</v>
      </c>
      <c r="U131" t="s">
        <v>29</v>
      </c>
      <c r="V131" t="s">
        <v>29</v>
      </c>
      <c r="W131">
        <v>4722.2222222222299</v>
      </c>
      <c r="X131">
        <v>277.77777777777777</v>
      </c>
      <c r="Y131">
        <v>24.988425925925966</v>
      </c>
    </row>
    <row r="132" spans="1:25" x14ac:dyDescent="0.25">
      <c r="A132">
        <v>1</v>
      </c>
      <c r="B132" s="1">
        <v>1001</v>
      </c>
      <c r="C132" s="2" t="s">
        <v>25</v>
      </c>
      <c r="D132" s="2">
        <v>21241.53</v>
      </c>
      <c r="E132" s="2">
        <v>12680.12444444446</v>
      </c>
      <c r="F132" s="1">
        <v>36</v>
      </c>
      <c r="G132" s="1">
        <v>20</v>
      </c>
      <c r="H132" s="2" t="s">
        <v>26</v>
      </c>
      <c r="J132" s="2" t="s">
        <v>26</v>
      </c>
      <c r="K132" s="2" t="s">
        <v>26</v>
      </c>
      <c r="L132" s="2" t="s">
        <v>26</v>
      </c>
      <c r="M132" s="1">
        <v>2872</v>
      </c>
      <c r="N132" t="s">
        <v>32</v>
      </c>
      <c r="O132" s="5">
        <f>EDATE(O131,1)</f>
        <v>41306</v>
      </c>
      <c r="P132">
        <v>20</v>
      </c>
      <c r="Q132">
        <v>21</v>
      </c>
      <c r="R132" s="2">
        <v>0</v>
      </c>
      <c r="T132" s="2">
        <v>0</v>
      </c>
      <c r="U132" t="s">
        <v>29</v>
      </c>
      <c r="V132" t="s">
        <v>29</v>
      </c>
      <c r="W132">
        <v>4444.4444444444525</v>
      </c>
      <c r="X132">
        <v>277.77777777777777</v>
      </c>
      <c r="Y132">
        <v>23.518518518518562</v>
      </c>
    </row>
    <row r="133" spans="1:25" x14ac:dyDescent="0.25">
      <c r="A133">
        <v>1</v>
      </c>
      <c r="B133" s="1">
        <v>1001</v>
      </c>
      <c r="C133" s="2" t="s">
        <v>25</v>
      </c>
      <c r="D133" s="2">
        <v>21241.53</v>
      </c>
      <c r="E133" s="2">
        <v>12252.054166666683</v>
      </c>
      <c r="F133" s="1">
        <v>36</v>
      </c>
      <c r="G133" s="1">
        <v>21</v>
      </c>
      <c r="H133" s="2" t="s">
        <v>26</v>
      </c>
      <c r="J133" s="2" t="s">
        <v>26</v>
      </c>
      <c r="K133" s="2" t="s">
        <v>26</v>
      </c>
      <c r="L133" s="2" t="s">
        <v>26</v>
      </c>
      <c r="M133" s="1">
        <v>2872</v>
      </c>
      <c r="N133" t="s">
        <v>32</v>
      </c>
      <c r="O133" s="5">
        <f>EDATE(O132,1)</f>
        <v>41334</v>
      </c>
      <c r="P133">
        <v>21</v>
      </c>
      <c r="Q133">
        <v>22</v>
      </c>
      <c r="R133" s="2">
        <v>0</v>
      </c>
      <c r="T133" s="2">
        <v>0</v>
      </c>
      <c r="U133" t="s">
        <v>29</v>
      </c>
      <c r="V133" t="s">
        <v>29</v>
      </c>
      <c r="W133">
        <v>4166.6666666666752</v>
      </c>
      <c r="X133">
        <v>277.77777777777777</v>
      </c>
      <c r="Y133">
        <v>22.048611111111157</v>
      </c>
    </row>
    <row r="134" spans="1:25" x14ac:dyDescent="0.25">
      <c r="A134">
        <v>1</v>
      </c>
      <c r="B134" s="1">
        <v>1001</v>
      </c>
      <c r="C134" s="2" t="s">
        <v>25</v>
      </c>
      <c r="D134" s="2">
        <v>21241.53</v>
      </c>
      <c r="E134" s="2">
        <v>11823.983888888906</v>
      </c>
      <c r="F134" s="1">
        <v>36</v>
      </c>
      <c r="G134" s="1">
        <v>22</v>
      </c>
      <c r="H134" s="2" t="s">
        <v>26</v>
      </c>
      <c r="J134" s="2" t="s">
        <v>26</v>
      </c>
      <c r="K134" s="2" t="s">
        <v>26</v>
      </c>
      <c r="L134" s="2" t="s">
        <v>26</v>
      </c>
      <c r="M134" s="1">
        <v>2872</v>
      </c>
      <c r="N134" t="s">
        <v>32</v>
      </c>
      <c r="O134" s="5">
        <f>EDATE(O133,1)</f>
        <v>41365</v>
      </c>
      <c r="P134">
        <v>22</v>
      </c>
      <c r="Q134">
        <v>23</v>
      </c>
      <c r="R134" s="2">
        <v>0</v>
      </c>
      <c r="T134" s="2">
        <v>0</v>
      </c>
      <c r="U134" t="s">
        <v>29</v>
      </c>
      <c r="V134" t="s">
        <v>29</v>
      </c>
      <c r="W134">
        <v>3888.8888888888973</v>
      </c>
      <c r="X134">
        <v>277.77777777777777</v>
      </c>
      <c r="Y134">
        <v>20.578703703703749</v>
      </c>
    </row>
    <row r="135" spans="1:25" x14ac:dyDescent="0.25">
      <c r="A135">
        <v>1</v>
      </c>
      <c r="B135" s="1">
        <v>1001</v>
      </c>
      <c r="C135" s="2" t="s">
        <v>25</v>
      </c>
      <c r="D135" s="2">
        <v>21241.53</v>
      </c>
      <c r="E135" s="2">
        <v>11395.913611111129</v>
      </c>
      <c r="F135" s="1">
        <v>36</v>
      </c>
      <c r="G135" s="1">
        <v>23</v>
      </c>
      <c r="H135" s="2" t="s">
        <v>26</v>
      </c>
      <c r="J135" s="2" t="s">
        <v>26</v>
      </c>
      <c r="K135" s="2" t="s">
        <v>26</v>
      </c>
      <c r="L135" s="2" t="s">
        <v>26</v>
      </c>
      <c r="M135" s="1">
        <v>2872</v>
      </c>
      <c r="N135" t="s">
        <v>32</v>
      </c>
      <c r="O135" s="5">
        <f>EDATE(O134,1)</f>
        <v>41395</v>
      </c>
      <c r="P135">
        <v>23</v>
      </c>
      <c r="Q135">
        <v>24</v>
      </c>
      <c r="R135" s="2">
        <v>0</v>
      </c>
      <c r="T135" s="2">
        <v>0</v>
      </c>
      <c r="U135" t="s">
        <v>29</v>
      </c>
      <c r="V135" t="s">
        <v>29</v>
      </c>
      <c r="W135">
        <v>3611.1111111111195</v>
      </c>
      <c r="X135">
        <v>277.77777777777777</v>
      </c>
      <c r="Y135">
        <v>19.10879629629634</v>
      </c>
    </row>
    <row r="136" spans="1:25" x14ac:dyDescent="0.25">
      <c r="A136">
        <v>1</v>
      </c>
      <c r="B136" s="1">
        <v>1001</v>
      </c>
      <c r="C136" s="2" t="s">
        <v>25</v>
      </c>
      <c r="D136" s="2">
        <v>21241.53</v>
      </c>
      <c r="E136" s="2">
        <v>10967.843333333352</v>
      </c>
      <c r="F136" s="1">
        <v>36</v>
      </c>
      <c r="G136" s="1">
        <v>24</v>
      </c>
      <c r="H136" s="2" t="s">
        <v>26</v>
      </c>
      <c r="J136" s="2" t="s">
        <v>26</v>
      </c>
      <c r="K136" s="2" t="s">
        <v>26</v>
      </c>
      <c r="L136" s="2" t="s">
        <v>26</v>
      </c>
      <c r="M136" s="1">
        <v>2872</v>
      </c>
      <c r="N136" t="s">
        <v>32</v>
      </c>
      <c r="O136" s="5">
        <f>EDATE(O135,1)</f>
        <v>41426</v>
      </c>
      <c r="P136">
        <v>24</v>
      </c>
      <c r="Q136">
        <v>25</v>
      </c>
      <c r="R136" s="2">
        <v>0</v>
      </c>
      <c r="T136" s="2">
        <v>0</v>
      </c>
      <c r="U136" t="s">
        <v>29</v>
      </c>
      <c r="V136" t="s">
        <v>29</v>
      </c>
      <c r="W136">
        <v>3333.3333333333417</v>
      </c>
      <c r="X136">
        <v>277.77777777777777</v>
      </c>
      <c r="Y136">
        <v>17.638888888888932</v>
      </c>
    </row>
    <row r="137" spans="1:25" x14ac:dyDescent="0.25">
      <c r="A137">
        <v>1</v>
      </c>
      <c r="B137" s="1">
        <v>1001</v>
      </c>
      <c r="C137" s="2" t="s">
        <v>25</v>
      </c>
      <c r="D137" s="2">
        <v>21241.53</v>
      </c>
      <c r="E137" s="2">
        <v>10539.773055555575</v>
      </c>
      <c r="F137" s="1">
        <v>36</v>
      </c>
      <c r="G137" s="1">
        <v>25</v>
      </c>
      <c r="H137" s="2" t="s">
        <v>26</v>
      </c>
      <c r="J137" s="2" t="s">
        <v>26</v>
      </c>
      <c r="K137" s="2" t="s">
        <v>26</v>
      </c>
      <c r="L137" s="2" t="s">
        <v>26</v>
      </c>
      <c r="M137" s="1">
        <v>2872</v>
      </c>
      <c r="N137" t="s">
        <v>32</v>
      </c>
      <c r="O137" s="5">
        <f>EDATE(O136,1)</f>
        <v>41456</v>
      </c>
      <c r="P137">
        <v>25</v>
      </c>
      <c r="Q137">
        <v>26</v>
      </c>
      <c r="R137" s="2">
        <v>0</v>
      </c>
      <c r="T137" s="2">
        <v>0</v>
      </c>
      <c r="U137" t="s">
        <v>29</v>
      </c>
      <c r="V137" t="s">
        <v>29</v>
      </c>
      <c r="W137">
        <v>3055.5555555555638</v>
      </c>
      <c r="X137">
        <v>277.77777777777777</v>
      </c>
      <c r="Y137">
        <v>16.168981481481527</v>
      </c>
    </row>
    <row r="138" spans="1:25" x14ac:dyDescent="0.25">
      <c r="A138">
        <v>1</v>
      </c>
      <c r="B138" s="1">
        <v>1001</v>
      </c>
      <c r="C138" s="2" t="s">
        <v>25</v>
      </c>
      <c r="D138" s="2">
        <v>21241.53</v>
      </c>
      <c r="E138" s="2">
        <v>10111.702777777798</v>
      </c>
      <c r="F138" s="1">
        <v>36</v>
      </c>
      <c r="G138" s="1">
        <v>26</v>
      </c>
      <c r="H138" s="2" t="s">
        <v>26</v>
      </c>
      <c r="J138" s="2" t="s">
        <v>26</v>
      </c>
      <c r="K138" s="2" t="s">
        <v>26</v>
      </c>
      <c r="L138" s="2" t="s">
        <v>26</v>
      </c>
      <c r="M138" s="1">
        <v>2872</v>
      </c>
      <c r="N138" t="s">
        <v>32</v>
      </c>
      <c r="O138" s="5">
        <f>EDATE(O137,1)</f>
        <v>41487</v>
      </c>
      <c r="P138">
        <v>26</v>
      </c>
      <c r="Q138">
        <v>27</v>
      </c>
      <c r="R138" s="2">
        <v>0</v>
      </c>
      <c r="T138" s="2">
        <v>0</v>
      </c>
      <c r="U138" t="s">
        <v>29</v>
      </c>
      <c r="V138" t="s">
        <v>29</v>
      </c>
      <c r="W138">
        <v>2777.777777777786</v>
      </c>
      <c r="X138">
        <v>277.77777777777777</v>
      </c>
      <c r="Y138">
        <v>14.699074074074119</v>
      </c>
    </row>
    <row r="139" spans="1:25" x14ac:dyDescent="0.25">
      <c r="A139">
        <v>1</v>
      </c>
      <c r="B139" s="1">
        <v>1001</v>
      </c>
      <c r="C139" s="2" t="s">
        <v>25</v>
      </c>
      <c r="D139" s="2">
        <v>21241.53</v>
      </c>
      <c r="E139" s="2">
        <v>9683.6325000000215</v>
      </c>
      <c r="F139" s="1">
        <v>36</v>
      </c>
      <c r="G139" s="1">
        <v>27</v>
      </c>
      <c r="H139" s="2" t="s">
        <v>26</v>
      </c>
      <c r="J139" s="2" t="s">
        <v>26</v>
      </c>
      <c r="K139" s="2" t="s">
        <v>26</v>
      </c>
      <c r="L139" s="2" t="s">
        <v>26</v>
      </c>
      <c r="M139" s="1">
        <v>2872</v>
      </c>
      <c r="N139" t="s">
        <v>32</v>
      </c>
      <c r="O139" s="5">
        <f>EDATE(O138,1)</f>
        <v>41518</v>
      </c>
      <c r="P139">
        <v>27</v>
      </c>
      <c r="Q139">
        <v>28</v>
      </c>
      <c r="R139" s="2">
        <v>0</v>
      </c>
      <c r="T139" s="2">
        <v>0</v>
      </c>
      <c r="U139" t="s">
        <v>29</v>
      </c>
      <c r="V139" t="s">
        <v>29</v>
      </c>
      <c r="W139">
        <v>2500.0000000000082</v>
      </c>
      <c r="X139">
        <v>277.77777777777777</v>
      </c>
      <c r="Y139">
        <v>13.229166666666709</v>
      </c>
    </row>
    <row r="140" spans="1:25" x14ac:dyDescent="0.25">
      <c r="A140">
        <v>1</v>
      </c>
      <c r="B140" s="1">
        <v>1001</v>
      </c>
      <c r="C140" s="2" t="s">
        <v>25</v>
      </c>
      <c r="D140" s="2">
        <v>21241.53</v>
      </c>
      <c r="E140" s="2">
        <v>9255.5622222222446</v>
      </c>
      <c r="F140" s="1">
        <v>36</v>
      </c>
      <c r="G140" s="1">
        <v>28</v>
      </c>
      <c r="H140" s="2" t="s">
        <v>26</v>
      </c>
      <c r="J140" s="2" t="s">
        <v>26</v>
      </c>
      <c r="K140" s="2" t="s">
        <v>26</v>
      </c>
      <c r="L140" s="2" t="s">
        <v>26</v>
      </c>
      <c r="M140" s="1">
        <v>2872</v>
      </c>
      <c r="N140" t="s">
        <v>32</v>
      </c>
      <c r="O140" s="5">
        <f>EDATE(O139,1)</f>
        <v>41548</v>
      </c>
      <c r="P140">
        <v>28</v>
      </c>
      <c r="Q140">
        <v>29</v>
      </c>
      <c r="R140" s="2">
        <v>0</v>
      </c>
      <c r="T140" s="2">
        <v>0</v>
      </c>
      <c r="U140" t="s">
        <v>29</v>
      </c>
      <c r="V140" t="s">
        <v>29</v>
      </c>
      <c r="W140">
        <v>2222.2222222222304</v>
      </c>
      <c r="X140">
        <v>277.77777777777777</v>
      </c>
      <c r="Y140">
        <v>11.759259259259302</v>
      </c>
    </row>
    <row r="141" spans="1:25" x14ac:dyDescent="0.25">
      <c r="A141">
        <v>1</v>
      </c>
      <c r="B141" s="1">
        <v>1001</v>
      </c>
      <c r="C141" s="2" t="s">
        <v>25</v>
      </c>
      <c r="D141" s="2">
        <v>21241.53</v>
      </c>
      <c r="E141" s="2">
        <v>8827.4919444444677</v>
      </c>
      <c r="F141" s="1">
        <v>36</v>
      </c>
      <c r="G141" s="1">
        <v>29</v>
      </c>
      <c r="H141" s="2" t="s">
        <v>26</v>
      </c>
      <c r="J141" s="2" t="s">
        <v>26</v>
      </c>
      <c r="K141" s="2" t="s">
        <v>26</v>
      </c>
      <c r="L141" s="2" t="s">
        <v>26</v>
      </c>
      <c r="M141" s="1">
        <v>2872</v>
      </c>
      <c r="N141" t="s">
        <v>32</v>
      </c>
      <c r="O141" s="5">
        <f>EDATE(O140,1)</f>
        <v>41579</v>
      </c>
      <c r="P141">
        <v>29</v>
      </c>
      <c r="Q141">
        <v>30</v>
      </c>
      <c r="R141" s="2">
        <v>0</v>
      </c>
      <c r="T141" s="2">
        <v>0</v>
      </c>
      <c r="U141" t="s">
        <v>29</v>
      </c>
      <c r="V141" t="s">
        <v>29</v>
      </c>
      <c r="W141">
        <v>1944.4444444444525</v>
      </c>
      <c r="X141">
        <v>277.77777777777777</v>
      </c>
      <c r="Y141">
        <v>10.289351851851896</v>
      </c>
    </row>
    <row r="142" spans="1:25" x14ac:dyDescent="0.25">
      <c r="A142">
        <v>1</v>
      </c>
      <c r="B142" s="1">
        <v>1001</v>
      </c>
      <c r="C142" s="2" t="s">
        <v>25</v>
      </c>
      <c r="D142" s="2">
        <v>21241.53</v>
      </c>
      <c r="E142" s="2">
        <v>8399.4216666666907</v>
      </c>
      <c r="F142" s="1">
        <v>36</v>
      </c>
      <c r="G142" s="1">
        <v>30</v>
      </c>
      <c r="H142" s="2" t="s">
        <v>26</v>
      </c>
      <c r="J142" s="2" t="s">
        <v>26</v>
      </c>
      <c r="K142" s="2" t="s">
        <v>26</v>
      </c>
      <c r="L142" s="2" t="s">
        <v>26</v>
      </c>
      <c r="M142" s="1">
        <v>2872</v>
      </c>
      <c r="N142" t="s">
        <v>32</v>
      </c>
      <c r="O142" s="5">
        <f>EDATE(O141,1)</f>
        <v>41609</v>
      </c>
      <c r="P142">
        <v>30</v>
      </c>
      <c r="Q142">
        <v>31</v>
      </c>
      <c r="R142" s="2">
        <v>0</v>
      </c>
      <c r="T142" s="2">
        <v>0</v>
      </c>
      <c r="U142" t="s">
        <v>29</v>
      </c>
      <c r="V142" t="s">
        <v>29</v>
      </c>
      <c r="W142">
        <v>1666.6666666666747</v>
      </c>
      <c r="X142">
        <v>277.77777777777777</v>
      </c>
      <c r="Y142">
        <v>8.8194444444444873</v>
      </c>
    </row>
    <row r="143" spans="1:25" x14ac:dyDescent="0.25">
      <c r="A143">
        <v>1</v>
      </c>
      <c r="B143" s="1">
        <v>1001</v>
      </c>
      <c r="C143" s="2" t="s">
        <v>25</v>
      </c>
      <c r="D143" s="2">
        <v>21241.53</v>
      </c>
      <c r="E143" s="2">
        <v>7971.3513888889129</v>
      </c>
      <c r="F143" s="1">
        <v>36</v>
      </c>
      <c r="G143" s="1">
        <v>31</v>
      </c>
      <c r="H143" s="2" t="s">
        <v>26</v>
      </c>
      <c r="J143" s="2" t="s">
        <v>26</v>
      </c>
      <c r="K143" s="2" t="s">
        <v>26</v>
      </c>
      <c r="L143" s="2" t="s">
        <v>26</v>
      </c>
      <c r="M143" s="1">
        <v>2872</v>
      </c>
      <c r="N143" t="s">
        <v>32</v>
      </c>
      <c r="O143" s="5">
        <f>EDATE(O142,1)</f>
        <v>41640</v>
      </c>
      <c r="P143">
        <v>31</v>
      </c>
      <c r="Q143">
        <v>32</v>
      </c>
      <c r="R143" s="2">
        <v>0</v>
      </c>
      <c r="T143" s="2">
        <v>0</v>
      </c>
      <c r="U143" t="s">
        <v>29</v>
      </c>
      <c r="V143" t="s">
        <v>29</v>
      </c>
      <c r="W143">
        <v>1388.8888888888969</v>
      </c>
      <c r="X143">
        <v>277.77777777777777</v>
      </c>
      <c r="Y143">
        <v>7.3495370370370798</v>
      </c>
    </row>
    <row r="144" spans="1:25" x14ac:dyDescent="0.25">
      <c r="A144">
        <v>1</v>
      </c>
      <c r="B144" s="1">
        <v>1001</v>
      </c>
      <c r="C144" s="2" t="s">
        <v>25</v>
      </c>
      <c r="D144" s="2">
        <v>21241.53</v>
      </c>
      <c r="E144" s="2">
        <v>7543.281111111135</v>
      </c>
      <c r="F144" s="1">
        <v>36</v>
      </c>
      <c r="G144" s="1">
        <v>32</v>
      </c>
      <c r="H144" s="2" t="s">
        <v>26</v>
      </c>
      <c r="J144" s="2" t="s">
        <v>26</v>
      </c>
      <c r="K144" s="2" t="s">
        <v>26</v>
      </c>
      <c r="L144" s="2" t="s">
        <v>26</v>
      </c>
      <c r="M144" s="1">
        <v>2872</v>
      </c>
      <c r="N144" t="s">
        <v>32</v>
      </c>
      <c r="O144" s="5">
        <f>EDATE(O143,1)</f>
        <v>41671</v>
      </c>
      <c r="P144">
        <v>32</v>
      </c>
      <c r="Q144">
        <v>33</v>
      </c>
      <c r="R144" s="2">
        <v>0</v>
      </c>
      <c r="T144" s="2">
        <v>0</v>
      </c>
      <c r="U144" t="s">
        <v>29</v>
      </c>
      <c r="V144" t="s">
        <v>29</v>
      </c>
      <c r="W144">
        <v>1111.111111111119</v>
      </c>
      <c r="X144">
        <v>277.77777777777777</v>
      </c>
      <c r="Y144">
        <v>5.8796296296296715</v>
      </c>
    </row>
    <row r="145" spans="1:25" x14ac:dyDescent="0.25">
      <c r="A145">
        <v>1</v>
      </c>
      <c r="B145" s="1">
        <v>1001</v>
      </c>
      <c r="C145" s="2" t="s">
        <v>25</v>
      </c>
      <c r="D145" s="2">
        <v>21241.53</v>
      </c>
      <c r="E145" s="2">
        <v>7115.2108333333572</v>
      </c>
      <c r="F145" s="1">
        <v>36</v>
      </c>
      <c r="G145" s="1">
        <v>33</v>
      </c>
      <c r="H145" s="2" t="s">
        <v>26</v>
      </c>
      <c r="J145" s="2" t="s">
        <v>26</v>
      </c>
      <c r="K145" s="2" t="s">
        <v>26</v>
      </c>
      <c r="L145" s="2" t="s">
        <v>26</v>
      </c>
      <c r="M145" s="1">
        <v>2872</v>
      </c>
      <c r="N145" t="s">
        <v>32</v>
      </c>
      <c r="O145" s="5">
        <f>EDATE(O144,1)</f>
        <v>41699</v>
      </c>
      <c r="P145">
        <v>33</v>
      </c>
      <c r="Q145">
        <v>34</v>
      </c>
      <c r="R145" s="2">
        <v>0</v>
      </c>
      <c r="T145" s="2">
        <v>0</v>
      </c>
      <c r="U145" t="s">
        <v>29</v>
      </c>
      <c r="V145" t="s">
        <v>29</v>
      </c>
      <c r="W145">
        <v>833.33333333334122</v>
      </c>
      <c r="X145">
        <v>277.77777777777777</v>
      </c>
      <c r="Y145">
        <v>4.4097222222222641</v>
      </c>
    </row>
    <row r="146" spans="1:25" x14ac:dyDescent="0.25">
      <c r="A146">
        <v>1</v>
      </c>
      <c r="B146" s="1">
        <v>1001</v>
      </c>
      <c r="C146" s="2" t="s">
        <v>25</v>
      </c>
      <c r="D146" s="2">
        <v>21241.53</v>
      </c>
      <c r="E146" s="2">
        <v>6687.1405555555793</v>
      </c>
      <c r="F146" s="1">
        <v>36</v>
      </c>
      <c r="G146" s="1">
        <v>34</v>
      </c>
      <c r="H146" s="2" t="s">
        <v>26</v>
      </c>
      <c r="J146" s="2" t="s">
        <v>26</v>
      </c>
      <c r="K146" s="2" t="s">
        <v>26</v>
      </c>
      <c r="L146" s="2" t="s">
        <v>26</v>
      </c>
      <c r="M146" s="1">
        <v>2872</v>
      </c>
      <c r="N146" t="s">
        <v>32</v>
      </c>
      <c r="O146" s="5">
        <f>EDATE(O145,1)</f>
        <v>41730</v>
      </c>
      <c r="P146">
        <v>34</v>
      </c>
      <c r="Q146">
        <v>35</v>
      </c>
      <c r="R146" s="2">
        <v>0</v>
      </c>
      <c r="T146" s="2">
        <v>0</v>
      </c>
      <c r="U146" t="s">
        <v>29</v>
      </c>
      <c r="V146" t="s">
        <v>29</v>
      </c>
      <c r="W146">
        <v>555.55555555556339</v>
      </c>
      <c r="X146">
        <v>277.77777777777777</v>
      </c>
      <c r="Y146">
        <v>2.9398148148148562</v>
      </c>
    </row>
    <row r="147" spans="1:25" x14ac:dyDescent="0.25">
      <c r="A147">
        <v>1</v>
      </c>
      <c r="B147" s="1">
        <v>1001</v>
      </c>
      <c r="C147" s="2" t="s">
        <v>25</v>
      </c>
      <c r="D147" s="2">
        <v>21241.53</v>
      </c>
      <c r="E147" s="2">
        <v>6259.0702777778015</v>
      </c>
      <c r="F147" s="1">
        <v>36</v>
      </c>
      <c r="G147" s="1">
        <v>35</v>
      </c>
      <c r="H147" s="2" t="s">
        <v>26</v>
      </c>
      <c r="J147" s="2" t="s">
        <v>26</v>
      </c>
      <c r="K147" s="2" t="s">
        <v>26</v>
      </c>
      <c r="L147" s="2" t="s">
        <v>26</v>
      </c>
      <c r="M147" s="1">
        <v>2872</v>
      </c>
      <c r="N147" t="s">
        <v>32</v>
      </c>
      <c r="O147" s="5">
        <f>EDATE(O146,1)</f>
        <v>41760</v>
      </c>
      <c r="P147">
        <v>35</v>
      </c>
      <c r="Q147">
        <v>36</v>
      </c>
      <c r="R147" s="2">
        <v>0</v>
      </c>
      <c r="T147" s="2">
        <v>0</v>
      </c>
      <c r="U147" t="s">
        <v>29</v>
      </c>
      <c r="V147" t="s">
        <v>29</v>
      </c>
      <c r="W147">
        <v>277.77777777778562</v>
      </c>
      <c r="X147">
        <v>277.77777777777777</v>
      </c>
      <c r="Y147">
        <v>1.469907407407449</v>
      </c>
    </row>
    <row r="148" spans="1:25" x14ac:dyDescent="0.25">
      <c r="A148">
        <v>1</v>
      </c>
      <c r="B148" s="1">
        <v>1001</v>
      </c>
      <c r="C148" s="2" t="s">
        <v>25</v>
      </c>
      <c r="D148" s="2">
        <v>21241.53</v>
      </c>
      <c r="E148" s="2">
        <v>5831.0000000000236</v>
      </c>
      <c r="F148" s="1">
        <v>36</v>
      </c>
      <c r="G148" s="1">
        <v>36</v>
      </c>
      <c r="H148" s="2" t="s">
        <v>26</v>
      </c>
      <c r="J148" s="2" t="s">
        <v>26</v>
      </c>
      <c r="K148" s="2" t="s">
        <v>26</v>
      </c>
      <c r="L148" s="2" t="s">
        <v>26</v>
      </c>
      <c r="M148" s="1">
        <v>2872</v>
      </c>
      <c r="N148" t="s">
        <v>32</v>
      </c>
      <c r="O148" s="5">
        <f>EDATE(O147,1)</f>
        <v>41791</v>
      </c>
      <c r="P148">
        <v>36</v>
      </c>
      <c r="Q148">
        <v>37</v>
      </c>
      <c r="R148" s="2">
        <v>0</v>
      </c>
      <c r="T148" s="2">
        <v>0</v>
      </c>
      <c r="U148" t="s">
        <v>29</v>
      </c>
      <c r="V148" t="s">
        <v>29</v>
      </c>
      <c r="W148">
        <v>7.8443918027915061E-12</v>
      </c>
      <c r="X148">
        <v>277.77777777777777</v>
      </c>
      <c r="Y148">
        <v>4.150990662310505E-14</v>
      </c>
    </row>
    <row r="149" spans="1:25" x14ac:dyDescent="0.25">
      <c r="A149">
        <v>1</v>
      </c>
      <c r="B149" s="1">
        <v>1001</v>
      </c>
      <c r="C149" s="2" t="s">
        <v>25</v>
      </c>
      <c r="D149" s="2">
        <v>21241.53</v>
      </c>
      <c r="E149" s="2">
        <v>5402.9297222222458</v>
      </c>
      <c r="F149" s="1">
        <v>36</v>
      </c>
      <c r="G149" s="1">
        <v>37</v>
      </c>
      <c r="H149" s="2" t="s">
        <v>26</v>
      </c>
      <c r="J149" s="2" t="s">
        <v>26</v>
      </c>
      <c r="K149" s="2">
        <v>10000</v>
      </c>
      <c r="L149" s="2" t="s">
        <v>26</v>
      </c>
      <c r="M149" s="1">
        <v>2872</v>
      </c>
      <c r="N149" t="s">
        <v>32</v>
      </c>
      <c r="O149" s="5">
        <f>EDATE(O148,1)</f>
        <v>41821</v>
      </c>
      <c r="P149">
        <v>37</v>
      </c>
      <c r="Q149">
        <v>999</v>
      </c>
      <c r="R149" s="2">
        <v>0</v>
      </c>
      <c r="T149" s="2">
        <v>0</v>
      </c>
      <c r="U149" t="s">
        <v>29</v>
      </c>
      <c r="V149" t="s">
        <v>29</v>
      </c>
      <c r="W149">
        <v>-277.77777777776993</v>
      </c>
      <c r="X149">
        <v>277.77777777777777</v>
      </c>
      <c r="Y149">
        <v>-1.4699074074073659</v>
      </c>
    </row>
    <row r="150" spans="1:25" x14ac:dyDescent="0.25">
      <c r="A150">
        <v>1</v>
      </c>
      <c r="B150" s="1">
        <v>1001</v>
      </c>
      <c r="C150" s="2" t="s">
        <v>25</v>
      </c>
      <c r="D150" s="2">
        <v>21241.53</v>
      </c>
      <c r="E150" s="2">
        <v>20813.459722222222</v>
      </c>
      <c r="F150" s="1">
        <v>36</v>
      </c>
      <c r="G150" s="1">
        <v>1</v>
      </c>
      <c r="H150" s="2" t="s">
        <v>26</v>
      </c>
      <c r="J150" s="2" t="s">
        <v>26</v>
      </c>
      <c r="K150" s="2" t="s">
        <v>26</v>
      </c>
      <c r="L150" s="2" t="s">
        <v>26</v>
      </c>
      <c r="M150" s="1">
        <v>2896</v>
      </c>
      <c r="N150" t="s">
        <v>33</v>
      </c>
      <c r="O150" s="5">
        <v>40725</v>
      </c>
      <c r="P150">
        <v>1</v>
      </c>
      <c r="Q150">
        <v>2</v>
      </c>
      <c r="R150" s="2">
        <v>277.77777777777777</v>
      </c>
      <c r="T150" s="2">
        <v>277.77777777777777</v>
      </c>
      <c r="U150" t="s">
        <v>29</v>
      </c>
      <c r="V150" t="s">
        <v>29</v>
      </c>
      <c r="W150">
        <v>9722.2222222222226</v>
      </c>
      <c r="X150">
        <v>277.77777777777777</v>
      </c>
      <c r="Y150">
        <v>51.446759259259267</v>
      </c>
    </row>
    <row r="151" spans="1:25" x14ac:dyDescent="0.25">
      <c r="A151">
        <v>1</v>
      </c>
      <c r="B151" s="1">
        <v>1001</v>
      </c>
      <c r="C151" s="2" t="s">
        <v>25</v>
      </c>
      <c r="D151" s="2">
        <v>21241.53</v>
      </c>
      <c r="E151" s="2">
        <v>20385.389444444445</v>
      </c>
      <c r="F151" s="1">
        <v>36</v>
      </c>
      <c r="G151" s="1">
        <v>2</v>
      </c>
      <c r="H151" s="2" t="s">
        <v>26</v>
      </c>
      <c r="J151" s="2" t="s">
        <v>26</v>
      </c>
      <c r="K151" s="2" t="s">
        <v>26</v>
      </c>
      <c r="L151" s="2" t="s">
        <v>26</v>
      </c>
      <c r="M151" s="1">
        <v>2896</v>
      </c>
      <c r="N151" t="s">
        <v>33</v>
      </c>
      <c r="O151" s="5">
        <f>EDATE(O150,1)</f>
        <v>40756</v>
      </c>
      <c r="P151">
        <v>2</v>
      </c>
      <c r="Q151">
        <v>3</v>
      </c>
      <c r="R151" s="2">
        <v>277.77777777777777</v>
      </c>
      <c r="T151" s="2">
        <v>277.77777777777777</v>
      </c>
      <c r="U151" t="s">
        <v>29</v>
      </c>
      <c r="V151" t="s">
        <v>29</v>
      </c>
      <c r="W151">
        <v>9444.4444444444453</v>
      </c>
      <c r="X151">
        <v>277.77777777777777</v>
      </c>
      <c r="Y151">
        <v>49.976851851851855</v>
      </c>
    </row>
    <row r="152" spans="1:25" x14ac:dyDescent="0.25">
      <c r="A152">
        <v>1</v>
      </c>
      <c r="B152" s="1">
        <v>1001</v>
      </c>
      <c r="C152" s="2" t="s">
        <v>25</v>
      </c>
      <c r="D152" s="2">
        <v>21241.53</v>
      </c>
      <c r="E152" s="2">
        <v>19957.319166666668</v>
      </c>
      <c r="F152" s="1">
        <v>36</v>
      </c>
      <c r="G152" s="1">
        <v>3</v>
      </c>
      <c r="H152" s="2" t="s">
        <v>26</v>
      </c>
      <c r="J152" s="2" t="s">
        <v>26</v>
      </c>
      <c r="K152" s="2" t="s">
        <v>26</v>
      </c>
      <c r="L152" s="2" t="s">
        <v>26</v>
      </c>
      <c r="M152" s="1">
        <v>2896</v>
      </c>
      <c r="N152" t="s">
        <v>33</v>
      </c>
      <c r="O152" s="5">
        <f>EDATE(O151,1)</f>
        <v>40787</v>
      </c>
      <c r="P152">
        <v>3</v>
      </c>
      <c r="Q152">
        <v>4</v>
      </c>
      <c r="R152" s="2">
        <v>277.77777777777777</v>
      </c>
      <c r="T152" s="2">
        <v>277.77777777777777</v>
      </c>
      <c r="U152" t="s">
        <v>29</v>
      </c>
      <c r="V152" t="s">
        <v>29</v>
      </c>
      <c r="W152">
        <v>9166.6666666666679</v>
      </c>
      <c r="X152">
        <v>277.77777777777777</v>
      </c>
      <c r="Y152">
        <v>48.50694444444445</v>
      </c>
    </row>
    <row r="153" spans="1:25" x14ac:dyDescent="0.25">
      <c r="A153">
        <v>1</v>
      </c>
      <c r="B153" s="1">
        <v>1001</v>
      </c>
      <c r="C153" s="2" t="s">
        <v>25</v>
      </c>
      <c r="D153" s="2">
        <v>21241.53</v>
      </c>
      <c r="E153" s="2">
        <v>19529.248888888891</v>
      </c>
      <c r="F153" s="1">
        <v>36</v>
      </c>
      <c r="G153" s="1">
        <v>4</v>
      </c>
      <c r="H153" s="2" t="s">
        <v>26</v>
      </c>
      <c r="J153" s="2" t="s">
        <v>26</v>
      </c>
      <c r="K153" s="2" t="s">
        <v>26</v>
      </c>
      <c r="L153" s="2" t="s">
        <v>26</v>
      </c>
      <c r="M153" s="1">
        <v>2896</v>
      </c>
      <c r="N153" t="s">
        <v>33</v>
      </c>
      <c r="O153" s="5">
        <f>EDATE(O152,1)</f>
        <v>40817</v>
      </c>
      <c r="P153">
        <v>4</v>
      </c>
      <c r="Q153">
        <v>5</v>
      </c>
      <c r="R153" s="2">
        <v>277.77777777777777</v>
      </c>
      <c r="T153" s="2">
        <v>277.77777777777777</v>
      </c>
      <c r="U153" t="s">
        <v>29</v>
      </c>
      <c r="V153" t="s">
        <v>29</v>
      </c>
      <c r="W153">
        <v>8888.8888888888905</v>
      </c>
      <c r="X153">
        <v>277.77777777777777</v>
      </c>
      <c r="Y153">
        <v>47.037037037037045</v>
      </c>
    </row>
    <row r="154" spans="1:25" x14ac:dyDescent="0.25">
      <c r="A154">
        <v>1</v>
      </c>
      <c r="B154" s="1">
        <v>1001</v>
      </c>
      <c r="C154" s="2" t="s">
        <v>25</v>
      </c>
      <c r="D154" s="2">
        <v>21241.53</v>
      </c>
      <c r="E154" s="2">
        <v>19101.178611111114</v>
      </c>
      <c r="F154" s="1">
        <v>36</v>
      </c>
      <c r="G154" s="1">
        <v>5</v>
      </c>
      <c r="H154" s="2" t="s">
        <v>26</v>
      </c>
      <c r="J154" s="2" t="s">
        <v>26</v>
      </c>
      <c r="K154" s="2" t="s">
        <v>26</v>
      </c>
      <c r="L154" s="2" t="s">
        <v>26</v>
      </c>
      <c r="M154" s="1">
        <v>2896</v>
      </c>
      <c r="N154" t="s">
        <v>33</v>
      </c>
      <c r="O154" s="5">
        <f>EDATE(O153,1)</f>
        <v>40848</v>
      </c>
      <c r="P154">
        <v>5</v>
      </c>
      <c r="Q154">
        <v>6</v>
      </c>
      <c r="R154" s="2">
        <v>277.77777777777777</v>
      </c>
      <c r="T154" s="2">
        <v>277.77777777777777</v>
      </c>
      <c r="U154" t="s">
        <v>29</v>
      </c>
      <c r="V154" t="s">
        <v>29</v>
      </c>
      <c r="W154">
        <v>8611.1111111111131</v>
      </c>
      <c r="X154">
        <v>277.77777777777777</v>
      </c>
      <c r="Y154">
        <v>45.56712962962964</v>
      </c>
    </row>
    <row r="155" spans="1:25" x14ac:dyDescent="0.25">
      <c r="A155">
        <v>1</v>
      </c>
      <c r="B155" s="1">
        <v>1001</v>
      </c>
      <c r="C155" s="2" t="s">
        <v>25</v>
      </c>
      <c r="D155" s="2">
        <v>21241.53</v>
      </c>
      <c r="E155" s="2">
        <v>18673.108333333337</v>
      </c>
      <c r="F155" s="1">
        <v>36</v>
      </c>
      <c r="G155" s="1">
        <v>6</v>
      </c>
      <c r="H155" s="2" t="s">
        <v>26</v>
      </c>
      <c r="J155" s="2" t="s">
        <v>26</v>
      </c>
      <c r="K155" s="2" t="s">
        <v>26</v>
      </c>
      <c r="L155" s="2" t="s">
        <v>26</v>
      </c>
      <c r="M155" s="1">
        <v>2896</v>
      </c>
      <c r="N155" t="s">
        <v>33</v>
      </c>
      <c r="O155" s="5">
        <f>EDATE(O154,1)</f>
        <v>40878</v>
      </c>
      <c r="P155">
        <v>6</v>
      </c>
      <c r="Q155">
        <v>7</v>
      </c>
      <c r="R155" s="2">
        <v>277.77777777777777</v>
      </c>
      <c r="T155" s="2">
        <v>277.77777777777777</v>
      </c>
      <c r="U155" t="s">
        <v>29</v>
      </c>
      <c r="V155" t="s">
        <v>29</v>
      </c>
      <c r="W155">
        <v>8333.3333333333358</v>
      </c>
      <c r="X155">
        <v>277.77777777777777</v>
      </c>
      <c r="Y155">
        <v>44.097222222222236</v>
      </c>
    </row>
    <row r="156" spans="1:25" x14ac:dyDescent="0.25">
      <c r="A156">
        <v>1</v>
      </c>
      <c r="B156" s="1">
        <v>1001</v>
      </c>
      <c r="C156" s="2" t="s">
        <v>25</v>
      </c>
      <c r="D156" s="2">
        <v>21241.53</v>
      </c>
      <c r="E156" s="2">
        <v>18245.03805555556</v>
      </c>
      <c r="F156" s="1">
        <v>36</v>
      </c>
      <c r="G156" s="1">
        <v>7</v>
      </c>
      <c r="H156" s="2" t="s">
        <v>26</v>
      </c>
      <c r="J156" s="2" t="s">
        <v>26</v>
      </c>
      <c r="K156" s="2" t="s">
        <v>26</v>
      </c>
      <c r="L156" s="2" t="s">
        <v>26</v>
      </c>
      <c r="M156" s="1">
        <v>2896</v>
      </c>
      <c r="N156" t="s">
        <v>33</v>
      </c>
      <c r="O156" s="5">
        <f>EDATE(O155,1)</f>
        <v>40909</v>
      </c>
      <c r="P156">
        <v>7</v>
      </c>
      <c r="Q156">
        <v>8</v>
      </c>
      <c r="R156" s="2">
        <v>277.77777777777777</v>
      </c>
      <c r="T156" s="2">
        <v>277.77777777777777</v>
      </c>
      <c r="U156" t="s">
        <v>29</v>
      </c>
      <c r="V156" t="s">
        <v>29</v>
      </c>
      <c r="W156">
        <v>8055.5555555555584</v>
      </c>
      <c r="X156">
        <v>277.77777777777777</v>
      </c>
      <c r="Y156">
        <v>42.627314814814831</v>
      </c>
    </row>
    <row r="157" spans="1:25" x14ac:dyDescent="0.25">
      <c r="A157">
        <v>1</v>
      </c>
      <c r="B157" s="1">
        <v>1001</v>
      </c>
      <c r="C157" s="2" t="s">
        <v>25</v>
      </c>
      <c r="D157" s="2">
        <v>21241.53</v>
      </c>
      <c r="E157" s="2">
        <v>17816.967777777783</v>
      </c>
      <c r="F157" s="1">
        <v>36</v>
      </c>
      <c r="G157" s="1">
        <v>8</v>
      </c>
      <c r="H157" s="2" t="s">
        <v>26</v>
      </c>
      <c r="J157" s="2" t="s">
        <v>26</v>
      </c>
      <c r="K157" s="2" t="s">
        <v>26</v>
      </c>
      <c r="L157" s="2" t="s">
        <v>26</v>
      </c>
      <c r="M157" s="1">
        <v>2896</v>
      </c>
      <c r="N157" t="s">
        <v>33</v>
      </c>
      <c r="O157" s="5">
        <f>EDATE(O156,1)</f>
        <v>40940</v>
      </c>
      <c r="P157">
        <v>8</v>
      </c>
      <c r="Q157">
        <v>9</v>
      </c>
      <c r="R157" s="2">
        <v>277.77777777777777</v>
      </c>
      <c r="T157" s="2">
        <v>277.77777777777777</v>
      </c>
      <c r="U157" t="s">
        <v>29</v>
      </c>
      <c r="V157" t="s">
        <v>29</v>
      </c>
      <c r="W157">
        <v>7777.777777777781</v>
      </c>
      <c r="X157">
        <v>277.77777777777777</v>
      </c>
      <c r="Y157">
        <v>41.157407407407426</v>
      </c>
    </row>
    <row r="158" spans="1:25" x14ac:dyDescent="0.25">
      <c r="A158">
        <v>1</v>
      </c>
      <c r="B158" s="1">
        <v>1001</v>
      </c>
      <c r="C158" s="2" t="s">
        <v>25</v>
      </c>
      <c r="D158" s="2">
        <v>21241.53</v>
      </c>
      <c r="E158" s="2">
        <v>17388.897500000006</v>
      </c>
      <c r="F158" s="1">
        <v>36</v>
      </c>
      <c r="G158" s="1">
        <v>9</v>
      </c>
      <c r="H158" s="2" t="s">
        <v>26</v>
      </c>
      <c r="J158" s="2" t="s">
        <v>26</v>
      </c>
      <c r="K158" s="2" t="s">
        <v>26</v>
      </c>
      <c r="L158" s="2" t="s">
        <v>26</v>
      </c>
      <c r="M158" s="1">
        <v>2896</v>
      </c>
      <c r="N158" t="s">
        <v>33</v>
      </c>
      <c r="O158" s="5">
        <f>EDATE(O157,1)</f>
        <v>40969</v>
      </c>
      <c r="P158">
        <v>9</v>
      </c>
      <c r="Q158">
        <v>10</v>
      </c>
      <c r="R158" s="2">
        <v>277.77777777777777</v>
      </c>
      <c r="T158" s="2">
        <v>277.77777777777777</v>
      </c>
      <c r="U158" t="s">
        <v>29</v>
      </c>
      <c r="V158" t="s">
        <v>29</v>
      </c>
      <c r="W158">
        <v>7500.0000000000036</v>
      </c>
      <c r="X158">
        <v>277.77777777777777</v>
      </c>
      <c r="Y158">
        <v>39.687500000000021</v>
      </c>
    </row>
    <row r="159" spans="1:25" x14ac:dyDescent="0.25">
      <c r="A159">
        <v>1</v>
      </c>
      <c r="B159" s="1">
        <v>1001</v>
      </c>
      <c r="C159" s="2" t="s">
        <v>25</v>
      </c>
      <c r="D159" s="2">
        <v>21241.53</v>
      </c>
      <c r="E159" s="2">
        <v>16960.827222222229</v>
      </c>
      <c r="F159" s="1">
        <v>36</v>
      </c>
      <c r="G159" s="1">
        <v>10</v>
      </c>
      <c r="H159" s="2" t="s">
        <v>26</v>
      </c>
      <c r="J159" s="2" t="s">
        <v>26</v>
      </c>
      <c r="K159" s="2" t="s">
        <v>26</v>
      </c>
      <c r="L159" s="2" t="s">
        <v>26</v>
      </c>
      <c r="M159" s="1">
        <v>2896</v>
      </c>
      <c r="N159" t="s">
        <v>33</v>
      </c>
      <c r="O159" s="5">
        <f>EDATE(O158,1)</f>
        <v>41000</v>
      </c>
      <c r="P159">
        <v>10</v>
      </c>
      <c r="Q159">
        <v>11</v>
      </c>
      <c r="R159" s="2">
        <v>277.77777777777777</v>
      </c>
      <c r="T159" s="2">
        <v>277.77777777777777</v>
      </c>
      <c r="U159" t="s">
        <v>29</v>
      </c>
      <c r="V159" t="s">
        <v>29</v>
      </c>
      <c r="W159">
        <v>7222.2222222222263</v>
      </c>
      <c r="X159">
        <v>277.77777777777777</v>
      </c>
      <c r="Y159">
        <v>38.217592592592617</v>
      </c>
    </row>
    <row r="160" spans="1:25" x14ac:dyDescent="0.25">
      <c r="A160">
        <v>1</v>
      </c>
      <c r="B160" s="1">
        <v>1001</v>
      </c>
      <c r="C160" s="2" t="s">
        <v>25</v>
      </c>
      <c r="D160" s="2">
        <v>21241.53</v>
      </c>
      <c r="E160" s="2">
        <v>16532.756944444453</v>
      </c>
      <c r="F160" s="1">
        <v>36</v>
      </c>
      <c r="G160" s="1">
        <v>11</v>
      </c>
      <c r="H160" s="2" t="s">
        <v>26</v>
      </c>
      <c r="J160" s="2" t="s">
        <v>26</v>
      </c>
      <c r="K160" s="2" t="s">
        <v>26</v>
      </c>
      <c r="L160" s="2" t="s">
        <v>26</v>
      </c>
      <c r="M160" s="1">
        <v>2896</v>
      </c>
      <c r="N160" t="s">
        <v>33</v>
      </c>
      <c r="O160" s="5">
        <f>EDATE(O159,1)</f>
        <v>41030</v>
      </c>
      <c r="P160">
        <v>11</v>
      </c>
      <c r="Q160">
        <v>12</v>
      </c>
      <c r="R160" s="2">
        <v>277.77777777777777</v>
      </c>
      <c r="T160" s="2">
        <v>277.77777777777777</v>
      </c>
      <c r="U160" t="s">
        <v>29</v>
      </c>
      <c r="V160" t="s">
        <v>29</v>
      </c>
      <c r="W160">
        <v>6944.4444444444489</v>
      </c>
      <c r="X160">
        <v>277.77777777777777</v>
      </c>
      <c r="Y160">
        <v>36.747685185185212</v>
      </c>
    </row>
    <row r="161" spans="1:25" x14ac:dyDescent="0.25">
      <c r="A161">
        <v>1</v>
      </c>
      <c r="B161" s="1">
        <v>1001</v>
      </c>
      <c r="C161" s="2" t="s">
        <v>25</v>
      </c>
      <c r="D161" s="2">
        <v>21241.53</v>
      </c>
      <c r="E161" s="2">
        <v>16104.686666666676</v>
      </c>
      <c r="F161" s="1">
        <v>36</v>
      </c>
      <c r="G161" s="1">
        <v>12</v>
      </c>
      <c r="H161" s="2" t="s">
        <v>26</v>
      </c>
      <c r="J161" s="2" t="s">
        <v>26</v>
      </c>
      <c r="K161" s="2" t="s">
        <v>26</v>
      </c>
      <c r="L161" s="2" t="s">
        <v>26</v>
      </c>
      <c r="M161" s="1">
        <v>2896</v>
      </c>
      <c r="N161" t="s">
        <v>33</v>
      </c>
      <c r="O161" s="5">
        <f>EDATE(O160,1)</f>
        <v>41061</v>
      </c>
      <c r="P161">
        <v>12</v>
      </c>
      <c r="Q161">
        <v>13</v>
      </c>
      <c r="R161" s="2">
        <v>277.77777777777777</v>
      </c>
      <c r="T161" s="2">
        <v>277.77777777777777</v>
      </c>
      <c r="U161" t="s">
        <v>29</v>
      </c>
      <c r="V161" t="s">
        <v>29</v>
      </c>
      <c r="W161">
        <v>6666.6666666666715</v>
      </c>
      <c r="X161">
        <v>277.77777777777777</v>
      </c>
      <c r="Y161">
        <v>35.277777777777807</v>
      </c>
    </row>
    <row r="162" spans="1:25" x14ac:dyDescent="0.25">
      <c r="A162">
        <v>1</v>
      </c>
      <c r="B162" s="1">
        <v>1001</v>
      </c>
      <c r="C162" s="2" t="s">
        <v>25</v>
      </c>
      <c r="D162" s="2">
        <v>21241.53</v>
      </c>
      <c r="E162" s="2">
        <v>15676.616388888899</v>
      </c>
      <c r="F162" s="1">
        <v>36</v>
      </c>
      <c r="G162" s="1">
        <v>13</v>
      </c>
      <c r="H162" s="2" t="s">
        <v>26</v>
      </c>
      <c r="J162" s="2" t="s">
        <v>26</v>
      </c>
      <c r="K162" s="2" t="s">
        <v>26</v>
      </c>
      <c r="L162" s="2" t="s">
        <v>26</v>
      </c>
      <c r="M162" s="1">
        <v>2896</v>
      </c>
      <c r="N162" t="s">
        <v>33</v>
      </c>
      <c r="O162" s="5">
        <f>EDATE(O161,1)</f>
        <v>41091</v>
      </c>
      <c r="P162">
        <v>13</v>
      </c>
      <c r="Q162">
        <v>14</v>
      </c>
      <c r="R162" s="2">
        <v>277.77777777777777</v>
      </c>
      <c r="T162" s="2">
        <v>277.77777777777777</v>
      </c>
      <c r="U162" t="s">
        <v>29</v>
      </c>
      <c r="V162" t="s">
        <v>29</v>
      </c>
      <c r="W162">
        <v>6388.8888888888941</v>
      </c>
      <c r="X162">
        <v>277.77777777777777</v>
      </c>
      <c r="Y162">
        <v>33.807870370370402</v>
      </c>
    </row>
    <row r="163" spans="1:25" x14ac:dyDescent="0.25">
      <c r="A163">
        <v>1</v>
      </c>
      <c r="B163" s="1">
        <v>1001</v>
      </c>
      <c r="C163" s="2" t="s">
        <v>25</v>
      </c>
      <c r="D163" s="2">
        <v>21241.53</v>
      </c>
      <c r="E163" s="2">
        <v>15248.546111111122</v>
      </c>
      <c r="F163" s="1">
        <v>36</v>
      </c>
      <c r="G163" s="1">
        <v>14</v>
      </c>
      <c r="H163" s="2" t="s">
        <v>26</v>
      </c>
      <c r="J163" s="2" t="s">
        <v>26</v>
      </c>
      <c r="K163" s="2" t="s">
        <v>26</v>
      </c>
      <c r="L163" s="2" t="s">
        <v>26</v>
      </c>
      <c r="M163" s="1">
        <v>2896</v>
      </c>
      <c r="N163" t="s">
        <v>33</v>
      </c>
      <c r="O163" s="5">
        <f>EDATE(O162,1)</f>
        <v>41122</v>
      </c>
      <c r="P163">
        <v>14</v>
      </c>
      <c r="Q163">
        <v>15</v>
      </c>
      <c r="R163" s="2">
        <v>277.77777777777777</v>
      </c>
      <c r="T163" s="2">
        <v>277.77777777777777</v>
      </c>
      <c r="U163" t="s">
        <v>29</v>
      </c>
      <c r="V163" t="s">
        <v>29</v>
      </c>
      <c r="W163">
        <v>6111.1111111111168</v>
      </c>
      <c r="X163">
        <v>277.77777777777777</v>
      </c>
      <c r="Y163">
        <v>32.337962962962997</v>
      </c>
    </row>
    <row r="164" spans="1:25" x14ac:dyDescent="0.25">
      <c r="A164">
        <v>1</v>
      </c>
      <c r="B164" s="1">
        <v>1001</v>
      </c>
      <c r="C164" s="2" t="s">
        <v>25</v>
      </c>
      <c r="D164" s="2">
        <v>21241.53</v>
      </c>
      <c r="E164" s="2">
        <v>14820.475833333345</v>
      </c>
      <c r="F164" s="1">
        <v>36</v>
      </c>
      <c r="G164" s="1">
        <v>15</v>
      </c>
      <c r="H164" s="2" t="s">
        <v>26</v>
      </c>
      <c r="J164" s="2" t="s">
        <v>26</v>
      </c>
      <c r="K164" s="2" t="s">
        <v>26</v>
      </c>
      <c r="L164" s="2" t="s">
        <v>26</v>
      </c>
      <c r="M164" s="1">
        <v>2896</v>
      </c>
      <c r="N164" t="s">
        <v>33</v>
      </c>
      <c r="O164" s="5">
        <f>EDATE(O163,1)</f>
        <v>41153</v>
      </c>
      <c r="P164">
        <v>15</v>
      </c>
      <c r="Q164">
        <v>16</v>
      </c>
      <c r="R164" s="2">
        <v>277.77777777777777</v>
      </c>
      <c r="T164" s="2">
        <v>277.77777777777777</v>
      </c>
      <c r="U164" t="s">
        <v>29</v>
      </c>
      <c r="V164" t="s">
        <v>29</v>
      </c>
      <c r="W164">
        <v>5833.3333333333394</v>
      </c>
      <c r="X164">
        <v>277.77777777777777</v>
      </c>
      <c r="Y164">
        <v>30.868055555555589</v>
      </c>
    </row>
    <row r="165" spans="1:25" x14ac:dyDescent="0.25">
      <c r="A165">
        <v>1</v>
      </c>
      <c r="B165" s="1">
        <v>1001</v>
      </c>
      <c r="C165" s="2" t="s">
        <v>25</v>
      </c>
      <c r="D165" s="2">
        <v>21241.53</v>
      </c>
      <c r="E165" s="2">
        <v>14392.405555555568</v>
      </c>
      <c r="F165" s="1">
        <v>36</v>
      </c>
      <c r="G165" s="1">
        <v>16</v>
      </c>
      <c r="H165" s="2" t="s">
        <v>26</v>
      </c>
      <c r="J165" s="2" t="s">
        <v>26</v>
      </c>
      <c r="K165" s="2" t="s">
        <v>26</v>
      </c>
      <c r="L165" s="2" t="s">
        <v>26</v>
      </c>
      <c r="M165" s="1">
        <v>2896</v>
      </c>
      <c r="N165" t="s">
        <v>33</v>
      </c>
      <c r="O165" s="5">
        <f>EDATE(O164,1)</f>
        <v>41183</v>
      </c>
      <c r="P165">
        <v>16</v>
      </c>
      <c r="Q165">
        <v>17</v>
      </c>
      <c r="R165" s="2">
        <v>277.77777777777777</v>
      </c>
      <c r="T165" s="2">
        <v>277.77777777777777</v>
      </c>
      <c r="U165" t="s">
        <v>29</v>
      </c>
      <c r="V165" t="s">
        <v>29</v>
      </c>
      <c r="W165">
        <v>5555.555555555562</v>
      </c>
      <c r="X165">
        <v>277.77777777777777</v>
      </c>
      <c r="Y165">
        <v>29.398148148148181</v>
      </c>
    </row>
    <row r="166" spans="1:25" x14ac:dyDescent="0.25">
      <c r="A166">
        <v>1</v>
      </c>
      <c r="B166" s="1">
        <v>1001</v>
      </c>
      <c r="C166" s="2" t="s">
        <v>25</v>
      </c>
      <c r="D166" s="2">
        <v>21241.53</v>
      </c>
      <c r="E166" s="2">
        <v>13964.335277777791</v>
      </c>
      <c r="F166" s="1">
        <v>36</v>
      </c>
      <c r="G166" s="1">
        <v>17</v>
      </c>
      <c r="H166" s="2" t="s">
        <v>26</v>
      </c>
      <c r="J166" s="2" t="s">
        <v>26</v>
      </c>
      <c r="K166" s="2" t="s">
        <v>26</v>
      </c>
      <c r="L166" s="2" t="s">
        <v>26</v>
      </c>
      <c r="M166" s="1">
        <v>2896</v>
      </c>
      <c r="N166" t="s">
        <v>33</v>
      </c>
      <c r="O166" s="5">
        <f>EDATE(O165,1)</f>
        <v>41214</v>
      </c>
      <c r="P166">
        <v>17</v>
      </c>
      <c r="Q166">
        <v>18</v>
      </c>
      <c r="R166" s="2">
        <v>277.77777777777777</v>
      </c>
      <c r="T166" s="2">
        <v>277.77777777777777</v>
      </c>
      <c r="U166" t="s">
        <v>29</v>
      </c>
      <c r="V166" t="s">
        <v>29</v>
      </c>
      <c r="W166">
        <v>5277.7777777777846</v>
      </c>
      <c r="X166">
        <v>277.77777777777777</v>
      </c>
      <c r="Y166">
        <v>27.928240740740776</v>
      </c>
    </row>
    <row r="167" spans="1:25" x14ac:dyDescent="0.25">
      <c r="A167">
        <v>1</v>
      </c>
      <c r="B167" s="1">
        <v>1001</v>
      </c>
      <c r="C167" s="2" t="s">
        <v>25</v>
      </c>
      <c r="D167" s="2">
        <v>21241.53</v>
      </c>
      <c r="E167" s="2">
        <v>13536.265000000014</v>
      </c>
      <c r="F167" s="1">
        <v>36</v>
      </c>
      <c r="G167" s="1">
        <v>18</v>
      </c>
      <c r="H167" s="2" t="s">
        <v>26</v>
      </c>
      <c r="J167" s="2" t="s">
        <v>26</v>
      </c>
      <c r="K167" s="2" t="s">
        <v>26</v>
      </c>
      <c r="L167" s="2" t="s">
        <v>26</v>
      </c>
      <c r="M167" s="1">
        <v>2896</v>
      </c>
      <c r="N167" t="s">
        <v>33</v>
      </c>
      <c r="O167" s="5">
        <f>EDATE(O166,1)</f>
        <v>41244</v>
      </c>
      <c r="P167">
        <v>18</v>
      </c>
      <c r="Q167">
        <v>19</v>
      </c>
      <c r="R167" s="2">
        <v>277.77777777777777</v>
      </c>
      <c r="T167" s="2">
        <v>277.77777777777777</v>
      </c>
      <c r="U167" t="s">
        <v>29</v>
      </c>
      <c r="V167" t="s">
        <v>29</v>
      </c>
      <c r="W167">
        <v>5000.0000000000073</v>
      </c>
      <c r="X167">
        <v>277.77777777777777</v>
      </c>
      <c r="Y167">
        <v>26.458333333333371</v>
      </c>
    </row>
    <row r="168" spans="1:25" x14ac:dyDescent="0.25">
      <c r="A168">
        <v>1</v>
      </c>
      <c r="B168" s="1">
        <v>1001</v>
      </c>
      <c r="C168" s="2" t="s">
        <v>25</v>
      </c>
      <c r="D168" s="2">
        <v>21241.53</v>
      </c>
      <c r="E168" s="2">
        <v>13108.194722222237</v>
      </c>
      <c r="F168" s="1">
        <v>36</v>
      </c>
      <c r="G168" s="1">
        <v>19</v>
      </c>
      <c r="H168" s="2" t="s">
        <v>26</v>
      </c>
      <c r="J168" s="2" t="s">
        <v>26</v>
      </c>
      <c r="K168" s="2" t="s">
        <v>26</v>
      </c>
      <c r="L168" s="2" t="s">
        <v>26</v>
      </c>
      <c r="M168" s="1">
        <v>2896</v>
      </c>
      <c r="N168" t="s">
        <v>33</v>
      </c>
      <c r="O168" s="5">
        <f>EDATE(O167,1)</f>
        <v>41275</v>
      </c>
      <c r="P168">
        <v>19</v>
      </c>
      <c r="Q168">
        <v>20</v>
      </c>
      <c r="R168" s="2">
        <v>277.77777777777777</v>
      </c>
      <c r="T168" s="2">
        <v>277.77777777777777</v>
      </c>
      <c r="U168" t="s">
        <v>29</v>
      </c>
      <c r="V168" t="s">
        <v>29</v>
      </c>
      <c r="W168">
        <v>4722.2222222222299</v>
      </c>
      <c r="X168">
        <v>277.77777777777777</v>
      </c>
      <c r="Y168">
        <v>24.988425925925966</v>
      </c>
    </row>
    <row r="169" spans="1:25" x14ac:dyDescent="0.25">
      <c r="A169">
        <v>1</v>
      </c>
      <c r="B169" s="1">
        <v>1001</v>
      </c>
      <c r="C169" s="2" t="s">
        <v>25</v>
      </c>
      <c r="D169" s="2">
        <v>21241.53</v>
      </c>
      <c r="E169" s="2">
        <v>12680.12444444446</v>
      </c>
      <c r="F169" s="1">
        <v>36</v>
      </c>
      <c r="G169" s="1">
        <v>20</v>
      </c>
      <c r="H169" s="2" t="s">
        <v>26</v>
      </c>
      <c r="J169" s="2" t="s">
        <v>26</v>
      </c>
      <c r="K169" s="2" t="s">
        <v>26</v>
      </c>
      <c r="L169" s="2" t="s">
        <v>26</v>
      </c>
      <c r="M169" s="1">
        <v>2896</v>
      </c>
      <c r="N169" t="s">
        <v>33</v>
      </c>
      <c r="O169" s="5">
        <f>EDATE(O168,1)</f>
        <v>41306</v>
      </c>
      <c r="P169">
        <v>20</v>
      </c>
      <c r="Q169">
        <v>21</v>
      </c>
      <c r="R169" s="2">
        <v>277.77777777777777</v>
      </c>
      <c r="T169" s="2">
        <v>277.77777777777777</v>
      </c>
      <c r="U169" t="s">
        <v>29</v>
      </c>
      <c r="V169" t="s">
        <v>29</v>
      </c>
      <c r="W169">
        <v>4444.4444444444525</v>
      </c>
      <c r="X169">
        <v>277.77777777777777</v>
      </c>
      <c r="Y169">
        <v>23.518518518518562</v>
      </c>
    </row>
    <row r="170" spans="1:25" x14ac:dyDescent="0.25">
      <c r="A170">
        <v>1</v>
      </c>
      <c r="B170" s="1">
        <v>1001</v>
      </c>
      <c r="C170" s="2" t="s">
        <v>25</v>
      </c>
      <c r="D170" s="2">
        <v>21241.53</v>
      </c>
      <c r="E170" s="2">
        <v>12252.054166666683</v>
      </c>
      <c r="F170" s="1">
        <v>36</v>
      </c>
      <c r="G170" s="1">
        <v>21</v>
      </c>
      <c r="H170" s="2" t="s">
        <v>26</v>
      </c>
      <c r="J170" s="2" t="s">
        <v>26</v>
      </c>
      <c r="K170" s="2" t="s">
        <v>26</v>
      </c>
      <c r="L170" s="2" t="s">
        <v>26</v>
      </c>
      <c r="M170" s="1">
        <v>2896</v>
      </c>
      <c r="N170" t="s">
        <v>33</v>
      </c>
      <c r="O170" s="5">
        <f>EDATE(O169,1)</f>
        <v>41334</v>
      </c>
      <c r="P170">
        <v>21</v>
      </c>
      <c r="Q170">
        <v>22</v>
      </c>
      <c r="R170" s="2">
        <v>277.77777777777777</v>
      </c>
      <c r="T170" s="2">
        <v>277.77777777777777</v>
      </c>
      <c r="U170" t="s">
        <v>29</v>
      </c>
      <c r="V170" t="s">
        <v>29</v>
      </c>
      <c r="W170">
        <v>4166.6666666666752</v>
      </c>
      <c r="X170">
        <v>277.77777777777777</v>
      </c>
      <c r="Y170">
        <v>22.048611111111157</v>
      </c>
    </row>
    <row r="171" spans="1:25" x14ac:dyDescent="0.25">
      <c r="A171">
        <v>1</v>
      </c>
      <c r="B171" s="1">
        <v>1001</v>
      </c>
      <c r="C171" s="2" t="s">
        <v>25</v>
      </c>
      <c r="D171" s="2">
        <v>21241.53</v>
      </c>
      <c r="E171" s="2">
        <v>11823.983888888906</v>
      </c>
      <c r="F171" s="1">
        <v>36</v>
      </c>
      <c r="G171" s="1">
        <v>22</v>
      </c>
      <c r="H171" s="2" t="s">
        <v>26</v>
      </c>
      <c r="J171" s="2" t="s">
        <v>26</v>
      </c>
      <c r="K171" s="2" t="s">
        <v>26</v>
      </c>
      <c r="L171" s="2" t="s">
        <v>26</v>
      </c>
      <c r="M171" s="1">
        <v>2896</v>
      </c>
      <c r="N171" t="s">
        <v>33</v>
      </c>
      <c r="O171" s="5">
        <f>EDATE(O170,1)</f>
        <v>41365</v>
      </c>
      <c r="P171">
        <v>22</v>
      </c>
      <c r="Q171">
        <v>23</v>
      </c>
      <c r="R171" s="2">
        <v>277.77777777777777</v>
      </c>
      <c r="T171" s="2">
        <v>277.77777777777777</v>
      </c>
      <c r="U171" t="s">
        <v>29</v>
      </c>
      <c r="V171" t="s">
        <v>29</v>
      </c>
      <c r="W171">
        <v>3888.8888888888973</v>
      </c>
      <c r="X171">
        <v>277.77777777777777</v>
      </c>
      <c r="Y171">
        <v>20.578703703703749</v>
      </c>
    </row>
    <row r="172" spans="1:25" x14ac:dyDescent="0.25">
      <c r="A172">
        <v>1</v>
      </c>
      <c r="B172" s="1">
        <v>1001</v>
      </c>
      <c r="C172" s="2" t="s">
        <v>25</v>
      </c>
      <c r="D172" s="2">
        <v>21241.53</v>
      </c>
      <c r="E172" s="2">
        <v>11395.913611111129</v>
      </c>
      <c r="F172" s="1">
        <v>36</v>
      </c>
      <c r="G172" s="1">
        <v>23</v>
      </c>
      <c r="H172" s="2" t="s">
        <v>26</v>
      </c>
      <c r="J172" s="2" t="s">
        <v>26</v>
      </c>
      <c r="K172" s="2" t="s">
        <v>26</v>
      </c>
      <c r="L172" s="2" t="s">
        <v>26</v>
      </c>
      <c r="M172" s="1">
        <v>2896</v>
      </c>
      <c r="N172" t="s">
        <v>33</v>
      </c>
      <c r="O172" s="5">
        <f>EDATE(O171,1)</f>
        <v>41395</v>
      </c>
      <c r="P172">
        <v>23</v>
      </c>
      <c r="Q172">
        <v>24</v>
      </c>
      <c r="R172" s="2">
        <v>277.77777777777777</v>
      </c>
      <c r="T172" s="2">
        <v>277.77777777777777</v>
      </c>
      <c r="U172" t="s">
        <v>29</v>
      </c>
      <c r="V172" t="s">
        <v>29</v>
      </c>
      <c r="W172">
        <v>3611.1111111111195</v>
      </c>
      <c r="X172">
        <v>277.77777777777777</v>
      </c>
      <c r="Y172">
        <v>19.10879629629634</v>
      </c>
    </row>
    <row r="173" spans="1:25" x14ac:dyDescent="0.25">
      <c r="A173">
        <v>1</v>
      </c>
      <c r="B173" s="1">
        <v>1001</v>
      </c>
      <c r="C173" s="2" t="s">
        <v>25</v>
      </c>
      <c r="D173" s="2">
        <v>21241.53</v>
      </c>
      <c r="E173" s="2">
        <v>10967.843333333352</v>
      </c>
      <c r="F173" s="1">
        <v>36</v>
      </c>
      <c r="G173" s="1">
        <v>24</v>
      </c>
      <c r="H173" s="2" t="s">
        <v>26</v>
      </c>
      <c r="J173" s="2" t="s">
        <v>26</v>
      </c>
      <c r="K173" s="2" t="s">
        <v>26</v>
      </c>
      <c r="L173" s="2" t="s">
        <v>26</v>
      </c>
      <c r="M173" s="1">
        <v>2896</v>
      </c>
      <c r="N173" t="s">
        <v>33</v>
      </c>
      <c r="O173" s="5">
        <f>EDATE(O172,1)</f>
        <v>41426</v>
      </c>
      <c r="P173">
        <v>24</v>
      </c>
      <c r="Q173">
        <v>25</v>
      </c>
      <c r="R173" s="2">
        <v>277.77777777777777</v>
      </c>
      <c r="T173" s="2">
        <v>277.77777777777777</v>
      </c>
      <c r="U173" t="s">
        <v>29</v>
      </c>
      <c r="V173" t="s">
        <v>29</v>
      </c>
      <c r="W173">
        <v>3333.3333333333417</v>
      </c>
      <c r="X173">
        <v>277.77777777777777</v>
      </c>
      <c r="Y173">
        <v>17.638888888888932</v>
      </c>
    </row>
    <row r="174" spans="1:25" x14ac:dyDescent="0.25">
      <c r="A174">
        <v>1</v>
      </c>
      <c r="B174" s="1">
        <v>1001</v>
      </c>
      <c r="C174" s="2" t="s">
        <v>25</v>
      </c>
      <c r="D174" s="2">
        <v>21241.53</v>
      </c>
      <c r="E174" s="2">
        <v>10539.773055555575</v>
      </c>
      <c r="F174" s="1">
        <v>36</v>
      </c>
      <c r="G174" s="1">
        <v>25</v>
      </c>
      <c r="H174" s="2" t="s">
        <v>26</v>
      </c>
      <c r="J174" s="2" t="s">
        <v>26</v>
      </c>
      <c r="K174" s="2" t="s">
        <v>26</v>
      </c>
      <c r="L174" s="2" t="s">
        <v>26</v>
      </c>
      <c r="M174" s="1">
        <v>2896</v>
      </c>
      <c r="N174" t="s">
        <v>33</v>
      </c>
      <c r="O174" s="5">
        <f>EDATE(O173,1)</f>
        <v>41456</v>
      </c>
      <c r="P174">
        <v>25</v>
      </c>
      <c r="Q174">
        <v>26</v>
      </c>
      <c r="R174" s="2">
        <v>277.77777777777777</v>
      </c>
      <c r="T174" s="2">
        <v>277.77777777777777</v>
      </c>
      <c r="U174" t="s">
        <v>29</v>
      </c>
      <c r="V174" t="s">
        <v>29</v>
      </c>
      <c r="W174">
        <v>3055.5555555555638</v>
      </c>
      <c r="X174">
        <v>277.77777777777777</v>
      </c>
      <c r="Y174">
        <v>16.168981481481527</v>
      </c>
    </row>
    <row r="175" spans="1:25" x14ac:dyDescent="0.25">
      <c r="A175">
        <v>1</v>
      </c>
      <c r="B175" s="1">
        <v>1001</v>
      </c>
      <c r="C175" s="2" t="s">
        <v>25</v>
      </c>
      <c r="D175" s="2">
        <v>21241.53</v>
      </c>
      <c r="E175" s="2">
        <v>10111.702777777798</v>
      </c>
      <c r="F175" s="1">
        <v>36</v>
      </c>
      <c r="G175" s="1">
        <v>26</v>
      </c>
      <c r="H175" s="2" t="s">
        <v>26</v>
      </c>
      <c r="J175" s="2" t="s">
        <v>26</v>
      </c>
      <c r="K175" s="2" t="s">
        <v>26</v>
      </c>
      <c r="L175" s="2" t="s">
        <v>26</v>
      </c>
      <c r="M175" s="1">
        <v>2896</v>
      </c>
      <c r="N175" t="s">
        <v>33</v>
      </c>
      <c r="O175" s="5">
        <f>EDATE(O174,1)</f>
        <v>41487</v>
      </c>
      <c r="P175">
        <v>26</v>
      </c>
      <c r="Q175">
        <v>27</v>
      </c>
      <c r="R175" s="2">
        <v>277.77777777777777</v>
      </c>
      <c r="T175" s="2">
        <v>277.77777777777777</v>
      </c>
      <c r="U175" t="s">
        <v>29</v>
      </c>
      <c r="V175" t="s">
        <v>29</v>
      </c>
      <c r="W175">
        <v>2777.777777777786</v>
      </c>
      <c r="X175">
        <v>277.77777777777777</v>
      </c>
      <c r="Y175">
        <v>14.699074074074119</v>
      </c>
    </row>
    <row r="176" spans="1:25" x14ac:dyDescent="0.25">
      <c r="A176">
        <v>1</v>
      </c>
      <c r="B176" s="1">
        <v>1001</v>
      </c>
      <c r="C176" s="2" t="s">
        <v>25</v>
      </c>
      <c r="D176" s="2">
        <v>21241.53</v>
      </c>
      <c r="E176" s="2">
        <v>9683.6325000000215</v>
      </c>
      <c r="F176" s="1">
        <v>36</v>
      </c>
      <c r="G176" s="1">
        <v>27</v>
      </c>
      <c r="H176" s="2" t="s">
        <v>26</v>
      </c>
      <c r="J176" s="2" t="s">
        <v>26</v>
      </c>
      <c r="K176" s="2" t="s">
        <v>26</v>
      </c>
      <c r="L176" s="2" t="s">
        <v>26</v>
      </c>
      <c r="M176" s="1">
        <v>2896</v>
      </c>
      <c r="N176" t="s">
        <v>33</v>
      </c>
      <c r="O176" s="5">
        <f>EDATE(O175,1)</f>
        <v>41518</v>
      </c>
      <c r="P176">
        <v>27</v>
      </c>
      <c r="Q176">
        <v>28</v>
      </c>
      <c r="R176" s="2">
        <v>277.77777777777777</v>
      </c>
      <c r="T176" s="2">
        <v>277.77777777777777</v>
      </c>
      <c r="U176" t="s">
        <v>29</v>
      </c>
      <c r="V176" t="s">
        <v>29</v>
      </c>
      <c r="W176">
        <v>2500.0000000000082</v>
      </c>
      <c r="X176">
        <v>277.77777777777777</v>
      </c>
      <c r="Y176">
        <v>13.229166666666709</v>
      </c>
    </row>
    <row r="177" spans="1:25" x14ac:dyDescent="0.25">
      <c r="A177">
        <v>1</v>
      </c>
      <c r="B177" s="1">
        <v>1001</v>
      </c>
      <c r="C177" s="2" t="s">
        <v>25</v>
      </c>
      <c r="D177" s="2">
        <v>21241.53</v>
      </c>
      <c r="E177" s="2">
        <v>9255.5622222222446</v>
      </c>
      <c r="F177" s="1">
        <v>36</v>
      </c>
      <c r="G177" s="1">
        <v>28</v>
      </c>
      <c r="H177" s="2" t="s">
        <v>26</v>
      </c>
      <c r="J177" s="2" t="s">
        <v>26</v>
      </c>
      <c r="K177" s="2" t="s">
        <v>26</v>
      </c>
      <c r="L177" s="2" t="s">
        <v>26</v>
      </c>
      <c r="M177" s="1">
        <v>2896</v>
      </c>
      <c r="N177" t="s">
        <v>33</v>
      </c>
      <c r="O177" s="5">
        <f>EDATE(O176,1)</f>
        <v>41548</v>
      </c>
      <c r="P177">
        <v>28</v>
      </c>
      <c r="Q177">
        <v>29</v>
      </c>
      <c r="R177" s="2">
        <v>277.77777777777777</v>
      </c>
      <c r="T177" s="2">
        <v>277.77777777777777</v>
      </c>
      <c r="U177" t="s">
        <v>29</v>
      </c>
      <c r="V177" t="s">
        <v>29</v>
      </c>
      <c r="W177">
        <v>2222.2222222222304</v>
      </c>
      <c r="X177">
        <v>277.77777777777777</v>
      </c>
      <c r="Y177">
        <v>11.759259259259302</v>
      </c>
    </row>
    <row r="178" spans="1:25" x14ac:dyDescent="0.25">
      <c r="A178">
        <v>1</v>
      </c>
      <c r="B178" s="1">
        <v>1001</v>
      </c>
      <c r="C178" s="2" t="s">
        <v>25</v>
      </c>
      <c r="D178" s="2">
        <v>21241.53</v>
      </c>
      <c r="E178" s="2">
        <v>8827.4919444444677</v>
      </c>
      <c r="F178" s="1">
        <v>36</v>
      </c>
      <c r="G178" s="1">
        <v>29</v>
      </c>
      <c r="H178" s="2" t="s">
        <v>26</v>
      </c>
      <c r="J178" s="2" t="s">
        <v>26</v>
      </c>
      <c r="K178" s="2" t="s">
        <v>26</v>
      </c>
      <c r="L178" s="2" t="s">
        <v>26</v>
      </c>
      <c r="M178" s="1">
        <v>2896</v>
      </c>
      <c r="N178" t="s">
        <v>33</v>
      </c>
      <c r="O178" s="5">
        <f>EDATE(O177,1)</f>
        <v>41579</v>
      </c>
      <c r="P178">
        <v>29</v>
      </c>
      <c r="Q178">
        <v>30</v>
      </c>
      <c r="R178" s="2">
        <v>277.77777777777777</v>
      </c>
      <c r="T178" s="2">
        <v>277.77777777777777</v>
      </c>
      <c r="U178" t="s">
        <v>29</v>
      </c>
      <c r="V178" t="s">
        <v>29</v>
      </c>
      <c r="W178">
        <v>1944.4444444444525</v>
      </c>
      <c r="X178">
        <v>277.77777777777777</v>
      </c>
      <c r="Y178">
        <v>10.289351851851896</v>
      </c>
    </row>
    <row r="179" spans="1:25" x14ac:dyDescent="0.25">
      <c r="A179">
        <v>1</v>
      </c>
      <c r="B179" s="1">
        <v>1001</v>
      </c>
      <c r="C179" s="2" t="s">
        <v>25</v>
      </c>
      <c r="D179" s="2">
        <v>21241.53</v>
      </c>
      <c r="E179" s="2">
        <v>8399.4216666666907</v>
      </c>
      <c r="F179" s="1">
        <v>36</v>
      </c>
      <c r="G179" s="1">
        <v>30</v>
      </c>
      <c r="H179" s="2" t="s">
        <v>26</v>
      </c>
      <c r="J179" s="2" t="s">
        <v>26</v>
      </c>
      <c r="K179" s="2" t="s">
        <v>26</v>
      </c>
      <c r="L179" s="2" t="s">
        <v>26</v>
      </c>
      <c r="M179" s="1">
        <v>2896</v>
      </c>
      <c r="N179" t="s">
        <v>33</v>
      </c>
      <c r="O179" s="5">
        <f>EDATE(O178,1)</f>
        <v>41609</v>
      </c>
      <c r="P179">
        <v>30</v>
      </c>
      <c r="Q179">
        <v>31</v>
      </c>
      <c r="R179" s="2">
        <v>277.77777777777777</v>
      </c>
      <c r="T179" s="2">
        <v>277.77777777777777</v>
      </c>
      <c r="U179" t="s">
        <v>29</v>
      </c>
      <c r="V179" t="s">
        <v>29</v>
      </c>
      <c r="W179">
        <v>1666.6666666666747</v>
      </c>
      <c r="X179">
        <v>277.77777777777777</v>
      </c>
      <c r="Y179">
        <v>8.8194444444444873</v>
      </c>
    </row>
    <row r="180" spans="1:25" x14ac:dyDescent="0.25">
      <c r="A180">
        <v>1</v>
      </c>
      <c r="B180" s="1">
        <v>1001</v>
      </c>
      <c r="C180" s="2" t="s">
        <v>25</v>
      </c>
      <c r="D180" s="2">
        <v>21241.53</v>
      </c>
      <c r="E180" s="2">
        <v>7971.3513888889129</v>
      </c>
      <c r="F180" s="1">
        <v>36</v>
      </c>
      <c r="G180" s="1">
        <v>31</v>
      </c>
      <c r="H180" s="2" t="s">
        <v>26</v>
      </c>
      <c r="J180" s="2" t="s">
        <v>26</v>
      </c>
      <c r="K180" s="2" t="s">
        <v>26</v>
      </c>
      <c r="L180" s="2" t="s">
        <v>26</v>
      </c>
      <c r="M180" s="1">
        <v>2896</v>
      </c>
      <c r="N180" t="s">
        <v>33</v>
      </c>
      <c r="O180" s="5">
        <f>EDATE(O179,1)</f>
        <v>41640</v>
      </c>
      <c r="P180">
        <v>31</v>
      </c>
      <c r="Q180">
        <v>32</v>
      </c>
      <c r="R180" s="2">
        <v>277.77777777777777</v>
      </c>
      <c r="T180" s="2">
        <v>277.77777777777777</v>
      </c>
      <c r="U180" t="s">
        <v>29</v>
      </c>
      <c r="V180" t="s">
        <v>29</v>
      </c>
      <c r="W180">
        <v>1388.8888888888969</v>
      </c>
      <c r="X180">
        <v>277.77777777777777</v>
      </c>
      <c r="Y180">
        <v>7.3495370370370798</v>
      </c>
    </row>
    <row r="181" spans="1:25" x14ac:dyDescent="0.25">
      <c r="A181">
        <v>1</v>
      </c>
      <c r="B181" s="1">
        <v>1001</v>
      </c>
      <c r="C181" s="2" t="s">
        <v>25</v>
      </c>
      <c r="D181" s="2">
        <v>21241.53</v>
      </c>
      <c r="E181" s="2">
        <v>7543.281111111135</v>
      </c>
      <c r="F181" s="1">
        <v>36</v>
      </c>
      <c r="G181" s="1">
        <v>32</v>
      </c>
      <c r="H181" s="2" t="s">
        <v>26</v>
      </c>
      <c r="J181" s="2" t="s">
        <v>26</v>
      </c>
      <c r="K181" s="2" t="s">
        <v>26</v>
      </c>
      <c r="L181" s="2" t="s">
        <v>26</v>
      </c>
      <c r="M181" s="1">
        <v>2896</v>
      </c>
      <c r="N181" t="s">
        <v>33</v>
      </c>
      <c r="O181" s="5">
        <f>EDATE(O180,1)</f>
        <v>41671</v>
      </c>
      <c r="P181">
        <v>32</v>
      </c>
      <c r="Q181">
        <v>33</v>
      </c>
      <c r="R181" s="2">
        <v>277.77777777777777</v>
      </c>
      <c r="T181" s="2">
        <v>277.77777777777777</v>
      </c>
      <c r="U181" t="s">
        <v>29</v>
      </c>
      <c r="V181" t="s">
        <v>29</v>
      </c>
      <c r="W181">
        <v>1111.111111111119</v>
      </c>
      <c r="X181">
        <v>277.77777777777777</v>
      </c>
      <c r="Y181">
        <v>5.8796296296296715</v>
      </c>
    </row>
    <row r="182" spans="1:25" x14ac:dyDescent="0.25">
      <c r="A182">
        <v>1</v>
      </c>
      <c r="B182" s="1">
        <v>1001</v>
      </c>
      <c r="C182" s="2" t="s">
        <v>25</v>
      </c>
      <c r="D182" s="2">
        <v>21241.53</v>
      </c>
      <c r="E182" s="2">
        <v>7115.2108333333572</v>
      </c>
      <c r="F182" s="1">
        <v>36</v>
      </c>
      <c r="G182" s="1">
        <v>33</v>
      </c>
      <c r="H182" s="2" t="s">
        <v>26</v>
      </c>
      <c r="J182" s="2" t="s">
        <v>26</v>
      </c>
      <c r="K182" s="2" t="s">
        <v>26</v>
      </c>
      <c r="L182" s="2" t="s">
        <v>26</v>
      </c>
      <c r="M182" s="1">
        <v>2896</v>
      </c>
      <c r="N182" t="s">
        <v>33</v>
      </c>
      <c r="O182" s="5">
        <f>EDATE(O181,1)</f>
        <v>41699</v>
      </c>
      <c r="P182">
        <v>33</v>
      </c>
      <c r="Q182">
        <v>34</v>
      </c>
      <c r="R182" s="2">
        <v>277.77777777777777</v>
      </c>
      <c r="T182" s="2">
        <v>277.77777777777777</v>
      </c>
      <c r="U182" t="s">
        <v>29</v>
      </c>
      <c r="V182" t="s">
        <v>29</v>
      </c>
      <c r="W182">
        <v>833.33333333334122</v>
      </c>
      <c r="X182">
        <v>277.77777777777777</v>
      </c>
      <c r="Y182">
        <v>4.4097222222222641</v>
      </c>
    </row>
    <row r="183" spans="1:25" x14ac:dyDescent="0.25">
      <c r="A183">
        <v>1</v>
      </c>
      <c r="B183" s="1">
        <v>1001</v>
      </c>
      <c r="C183" s="2" t="s">
        <v>25</v>
      </c>
      <c r="D183" s="2">
        <v>21241.53</v>
      </c>
      <c r="E183" s="2">
        <v>6687.1405555555793</v>
      </c>
      <c r="F183" s="1">
        <v>36</v>
      </c>
      <c r="G183" s="1">
        <v>34</v>
      </c>
      <c r="H183" s="2" t="s">
        <v>26</v>
      </c>
      <c r="J183" s="2" t="s">
        <v>26</v>
      </c>
      <c r="K183" s="2" t="s">
        <v>26</v>
      </c>
      <c r="L183" s="2" t="s">
        <v>26</v>
      </c>
      <c r="M183" s="1">
        <v>2896</v>
      </c>
      <c r="N183" t="s">
        <v>33</v>
      </c>
      <c r="O183" s="5">
        <f>EDATE(O182,1)</f>
        <v>41730</v>
      </c>
      <c r="P183">
        <v>34</v>
      </c>
      <c r="Q183">
        <v>35</v>
      </c>
      <c r="R183" s="2">
        <v>277.77777777777777</v>
      </c>
      <c r="T183" s="2">
        <v>277.77777777777777</v>
      </c>
      <c r="U183" t="s">
        <v>29</v>
      </c>
      <c r="V183" t="s">
        <v>29</v>
      </c>
      <c r="W183">
        <v>555.55555555556339</v>
      </c>
      <c r="X183">
        <v>277.77777777777777</v>
      </c>
      <c r="Y183">
        <v>2.9398148148148562</v>
      </c>
    </row>
    <row r="184" spans="1:25" x14ac:dyDescent="0.25">
      <c r="A184">
        <v>1</v>
      </c>
      <c r="B184" s="1">
        <v>1001</v>
      </c>
      <c r="C184" s="2" t="s">
        <v>25</v>
      </c>
      <c r="D184" s="2">
        <v>21241.53</v>
      </c>
      <c r="E184" s="2">
        <v>6259.0702777778015</v>
      </c>
      <c r="F184" s="1">
        <v>36</v>
      </c>
      <c r="G184" s="1">
        <v>35</v>
      </c>
      <c r="H184" s="2" t="s">
        <v>26</v>
      </c>
      <c r="J184" s="2" t="s">
        <v>26</v>
      </c>
      <c r="K184" s="2" t="s">
        <v>26</v>
      </c>
      <c r="L184" s="2" t="s">
        <v>26</v>
      </c>
      <c r="M184" s="1">
        <v>2896</v>
      </c>
      <c r="N184" t="s">
        <v>33</v>
      </c>
      <c r="O184" s="5">
        <f>EDATE(O183,1)</f>
        <v>41760</v>
      </c>
      <c r="P184">
        <v>35</v>
      </c>
      <c r="Q184">
        <v>36</v>
      </c>
      <c r="R184" s="2">
        <v>277.77777777777777</v>
      </c>
      <c r="T184" s="2">
        <v>277.77777777777777</v>
      </c>
      <c r="U184" t="s">
        <v>29</v>
      </c>
      <c r="V184" t="s">
        <v>29</v>
      </c>
      <c r="W184">
        <v>277.77777777778562</v>
      </c>
      <c r="X184">
        <v>277.77777777777777</v>
      </c>
      <c r="Y184">
        <v>1.469907407407449</v>
      </c>
    </row>
    <row r="185" spans="1:25" x14ac:dyDescent="0.25">
      <c r="A185">
        <v>1</v>
      </c>
      <c r="B185" s="1">
        <v>1001</v>
      </c>
      <c r="C185" s="2" t="s">
        <v>25</v>
      </c>
      <c r="D185" s="2">
        <v>21241.53</v>
      </c>
      <c r="E185" s="2">
        <v>5831.0000000000236</v>
      </c>
      <c r="F185" s="1">
        <v>36</v>
      </c>
      <c r="G185" s="1">
        <v>36</v>
      </c>
      <c r="H185" s="2" t="s">
        <v>26</v>
      </c>
      <c r="J185" s="2" t="s">
        <v>26</v>
      </c>
      <c r="K185" s="2" t="s">
        <v>26</v>
      </c>
      <c r="L185" s="2" t="s">
        <v>26</v>
      </c>
      <c r="M185" s="1">
        <v>2896</v>
      </c>
      <c r="N185" t="s">
        <v>33</v>
      </c>
      <c r="O185" s="5">
        <f>EDATE(O184,1)</f>
        <v>41791</v>
      </c>
      <c r="P185">
        <v>36</v>
      </c>
      <c r="Q185">
        <v>37</v>
      </c>
      <c r="R185" s="2">
        <v>277.77777777777777</v>
      </c>
      <c r="T185" s="2">
        <v>277.77777777777777</v>
      </c>
      <c r="U185" t="s">
        <v>29</v>
      </c>
      <c r="V185" t="s">
        <v>29</v>
      </c>
      <c r="W185">
        <v>7.8443918027915061E-12</v>
      </c>
      <c r="X185">
        <v>277.77777777777777</v>
      </c>
      <c r="Y185">
        <v>4.150990662310505E-14</v>
      </c>
    </row>
    <row r="186" spans="1:25" x14ac:dyDescent="0.25">
      <c r="A186">
        <v>1</v>
      </c>
      <c r="B186" s="1">
        <v>1001</v>
      </c>
      <c r="C186" s="2" t="s">
        <v>25</v>
      </c>
      <c r="D186" s="2">
        <v>21241.53</v>
      </c>
      <c r="E186" s="2">
        <v>5402.9297222222458</v>
      </c>
      <c r="F186" s="1">
        <v>36</v>
      </c>
      <c r="G186" s="1">
        <v>37</v>
      </c>
      <c r="H186" s="2" t="s">
        <v>26</v>
      </c>
      <c r="J186" s="2" t="s">
        <v>26</v>
      </c>
      <c r="K186" s="2">
        <v>10000</v>
      </c>
      <c r="L186" s="2" t="s">
        <v>26</v>
      </c>
      <c r="M186" s="1">
        <v>2896</v>
      </c>
      <c r="N186" t="s">
        <v>33</v>
      </c>
      <c r="O186" s="5">
        <f>EDATE(O185,1)</f>
        <v>41821</v>
      </c>
      <c r="P186">
        <v>37</v>
      </c>
      <c r="Q186">
        <v>999</v>
      </c>
      <c r="R186" s="2">
        <v>0</v>
      </c>
      <c r="T186" s="2">
        <v>0</v>
      </c>
      <c r="U186" t="s">
        <v>29</v>
      </c>
      <c r="V186" t="s">
        <v>29</v>
      </c>
      <c r="W186">
        <v>-277.77777777776993</v>
      </c>
      <c r="X186">
        <v>277.77777777777777</v>
      </c>
      <c r="Y186">
        <v>-1.4699074074073659</v>
      </c>
    </row>
    <row r="187" spans="1:25" x14ac:dyDescent="0.25">
      <c r="A187">
        <v>1</v>
      </c>
      <c r="B187" s="1">
        <v>1001</v>
      </c>
      <c r="C187" s="2" t="s">
        <v>25</v>
      </c>
      <c r="D187" s="2">
        <v>21241.53</v>
      </c>
      <c r="E187" s="2">
        <v>20813.459722222222</v>
      </c>
      <c r="F187" s="1">
        <v>36</v>
      </c>
      <c r="G187" s="1">
        <v>1</v>
      </c>
      <c r="H187" s="2" t="s">
        <v>26</v>
      </c>
      <c r="J187" s="2" t="s">
        <v>26</v>
      </c>
      <c r="K187" s="2" t="s">
        <v>26</v>
      </c>
      <c r="L187" s="2" t="s">
        <v>26</v>
      </c>
      <c r="M187" s="1">
        <v>2897</v>
      </c>
      <c r="N187" t="s">
        <v>34</v>
      </c>
      <c r="O187" s="5">
        <v>40725</v>
      </c>
      <c r="P187">
        <v>1</v>
      </c>
      <c r="Q187">
        <v>2</v>
      </c>
      <c r="R187" s="2">
        <v>51.446759259259267</v>
      </c>
      <c r="T187" s="2">
        <v>51.446759259259267</v>
      </c>
      <c r="U187" t="s">
        <v>29</v>
      </c>
      <c r="V187" t="s">
        <v>29</v>
      </c>
      <c r="W187">
        <v>9722.2222222222226</v>
      </c>
      <c r="X187">
        <v>277.77777777777777</v>
      </c>
      <c r="Y187">
        <v>51.446759259259267</v>
      </c>
    </row>
    <row r="188" spans="1:25" x14ac:dyDescent="0.25">
      <c r="A188">
        <v>1</v>
      </c>
      <c r="B188" s="1">
        <v>1001</v>
      </c>
      <c r="C188" s="2" t="s">
        <v>25</v>
      </c>
      <c r="D188" s="2">
        <v>21241.53</v>
      </c>
      <c r="E188" s="2">
        <v>20385.389444444445</v>
      </c>
      <c r="F188" s="1">
        <v>36</v>
      </c>
      <c r="G188" s="1">
        <v>2</v>
      </c>
      <c r="H188" s="2" t="s">
        <v>26</v>
      </c>
      <c r="J188" s="2" t="s">
        <v>26</v>
      </c>
      <c r="K188" s="2" t="s">
        <v>26</v>
      </c>
      <c r="L188" s="2" t="s">
        <v>26</v>
      </c>
      <c r="M188" s="1">
        <v>2897</v>
      </c>
      <c r="N188" t="s">
        <v>34</v>
      </c>
      <c r="O188" s="5">
        <f>EDATE(O187,1)</f>
        <v>40756</v>
      </c>
      <c r="P188">
        <v>2</v>
      </c>
      <c r="Q188">
        <v>3</v>
      </c>
      <c r="R188" s="2">
        <v>49.976851851851855</v>
      </c>
      <c r="T188" s="2">
        <v>49.976851851851855</v>
      </c>
      <c r="U188" t="s">
        <v>29</v>
      </c>
      <c r="V188" t="s">
        <v>29</v>
      </c>
      <c r="W188">
        <v>9444.4444444444453</v>
      </c>
      <c r="X188">
        <v>277.77777777777777</v>
      </c>
      <c r="Y188">
        <v>49.976851851851855</v>
      </c>
    </row>
    <row r="189" spans="1:25" x14ac:dyDescent="0.25">
      <c r="A189">
        <v>1</v>
      </c>
      <c r="B189" s="1">
        <v>1001</v>
      </c>
      <c r="C189" s="2" t="s">
        <v>25</v>
      </c>
      <c r="D189" s="2">
        <v>21241.53</v>
      </c>
      <c r="E189" s="2">
        <v>19957.319166666668</v>
      </c>
      <c r="F189" s="1">
        <v>36</v>
      </c>
      <c r="G189" s="1">
        <v>3</v>
      </c>
      <c r="H189" s="2" t="s">
        <v>26</v>
      </c>
      <c r="J189" s="2" t="s">
        <v>26</v>
      </c>
      <c r="K189" s="2" t="s">
        <v>26</v>
      </c>
      <c r="L189" s="2" t="s">
        <v>26</v>
      </c>
      <c r="M189" s="1">
        <v>2897</v>
      </c>
      <c r="N189" t="s">
        <v>34</v>
      </c>
      <c r="O189" s="5">
        <f>EDATE(O188,1)</f>
        <v>40787</v>
      </c>
      <c r="P189">
        <v>3</v>
      </c>
      <c r="Q189">
        <v>4</v>
      </c>
      <c r="R189" s="2">
        <v>48.50694444444445</v>
      </c>
      <c r="T189" s="2">
        <v>48.50694444444445</v>
      </c>
      <c r="U189" t="s">
        <v>29</v>
      </c>
      <c r="V189" t="s">
        <v>29</v>
      </c>
      <c r="W189">
        <v>9166.6666666666679</v>
      </c>
      <c r="X189">
        <v>277.77777777777777</v>
      </c>
      <c r="Y189">
        <v>48.50694444444445</v>
      </c>
    </row>
    <row r="190" spans="1:25" x14ac:dyDescent="0.25">
      <c r="A190">
        <v>1</v>
      </c>
      <c r="B190" s="1">
        <v>1001</v>
      </c>
      <c r="C190" s="2" t="s">
        <v>25</v>
      </c>
      <c r="D190" s="2">
        <v>21241.53</v>
      </c>
      <c r="E190" s="2">
        <v>19529.248888888891</v>
      </c>
      <c r="F190" s="1">
        <v>36</v>
      </c>
      <c r="G190" s="1">
        <v>4</v>
      </c>
      <c r="H190" s="2" t="s">
        <v>26</v>
      </c>
      <c r="J190" s="2" t="s">
        <v>26</v>
      </c>
      <c r="K190" s="2" t="s">
        <v>26</v>
      </c>
      <c r="L190" s="2" t="s">
        <v>26</v>
      </c>
      <c r="M190" s="1">
        <v>2897</v>
      </c>
      <c r="N190" t="s">
        <v>34</v>
      </c>
      <c r="O190" s="5">
        <f>EDATE(O189,1)</f>
        <v>40817</v>
      </c>
      <c r="P190">
        <v>4</v>
      </c>
      <c r="Q190">
        <v>5</v>
      </c>
      <c r="R190" s="2">
        <v>47.037037037037045</v>
      </c>
      <c r="T190" s="2">
        <v>47.037037037037045</v>
      </c>
      <c r="U190" t="s">
        <v>29</v>
      </c>
      <c r="V190" t="s">
        <v>29</v>
      </c>
      <c r="W190">
        <v>8888.8888888888905</v>
      </c>
      <c r="X190">
        <v>277.77777777777777</v>
      </c>
      <c r="Y190">
        <v>47.037037037037045</v>
      </c>
    </row>
    <row r="191" spans="1:25" x14ac:dyDescent="0.25">
      <c r="A191">
        <v>1</v>
      </c>
      <c r="B191" s="1">
        <v>1001</v>
      </c>
      <c r="C191" s="2" t="s">
        <v>25</v>
      </c>
      <c r="D191" s="2">
        <v>21241.53</v>
      </c>
      <c r="E191" s="2">
        <v>19101.178611111114</v>
      </c>
      <c r="F191" s="1">
        <v>36</v>
      </c>
      <c r="G191" s="1">
        <v>5</v>
      </c>
      <c r="H191" s="2" t="s">
        <v>26</v>
      </c>
      <c r="J191" s="2" t="s">
        <v>26</v>
      </c>
      <c r="K191" s="2" t="s">
        <v>26</v>
      </c>
      <c r="L191" s="2" t="s">
        <v>26</v>
      </c>
      <c r="M191" s="1">
        <v>2897</v>
      </c>
      <c r="N191" t="s">
        <v>34</v>
      </c>
      <c r="O191" s="5">
        <f>EDATE(O190,1)</f>
        <v>40848</v>
      </c>
      <c r="P191">
        <v>5</v>
      </c>
      <c r="Q191">
        <v>6</v>
      </c>
      <c r="R191" s="2">
        <v>45.56712962962964</v>
      </c>
      <c r="T191" s="2">
        <v>45.56712962962964</v>
      </c>
      <c r="U191" t="s">
        <v>29</v>
      </c>
      <c r="V191" t="s">
        <v>29</v>
      </c>
      <c r="W191">
        <v>8611.1111111111131</v>
      </c>
      <c r="X191">
        <v>277.77777777777777</v>
      </c>
      <c r="Y191">
        <v>45.56712962962964</v>
      </c>
    </row>
    <row r="192" spans="1:25" x14ac:dyDescent="0.25">
      <c r="A192">
        <v>1</v>
      </c>
      <c r="B192" s="1">
        <v>1001</v>
      </c>
      <c r="C192" s="2" t="s">
        <v>25</v>
      </c>
      <c r="D192" s="2">
        <v>21241.53</v>
      </c>
      <c r="E192" s="2">
        <v>18673.108333333337</v>
      </c>
      <c r="F192" s="1">
        <v>36</v>
      </c>
      <c r="G192" s="1">
        <v>6</v>
      </c>
      <c r="H192" s="2" t="s">
        <v>26</v>
      </c>
      <c r="J192" s="2" t="s">
        <v>26</v>
      </c>
      <c r="K192" s="2" t="s">
        <v>26</v>
      </c>
      <c r="L192" s="2" t="s">
        <v>26</v>
      </c>
      <c r="M192" s="1">
        <v>2897</v>
      </c>
      <c r="N192" t="s">
        <v>34</v>
      </c>
      <c r="O192" s="5">
        <f>EDATE(O191,1)</f>
        <v>40878</v>
      </c>
      <c r="P192">
        <v>6</v>
      </c>
      <c r="Q192">
        <v>7</v>
      </c>
      <c r="R192" s="2">
        <v>44.097222222222236</v>
      </c>
      <c r="T192" s="2">
        <v>44.097222222222236</v>
      </c>
      <c r="U192" t="s">
        <v>29</v>
      </c>
      <c r="V192" t="s">
        <v>29</v>
      </c>
      <c r="W192">
        <v>8333.3333333333358</v>
      </c>
      <c r="X192">
        <v>277.77777777777777</v>
      </c>
      <c r="Y192">
        <v>44.097222222222236</v>
      </c>
    </row>
    <row r="193" spans="1:25" x14ac:dyDescent="0.25">
      <c r="A193">
        <v>1</v>
      </c>
      <c r="B193" s="1">
        <v>1001</v>
      </c>
      <c r="C193" s="2" t="s">
        <v>25</v>
      </c>
      <c r="D193" s="2">
        <v>21241.53</v>
      </c>
      <c r="E193" s="2">
        <v>18245.03805555556</v>
      </c>
      <c r="F193" s="1">
        <v>36</v>
      </c>
      <c r="G193" s="1">
        <v>7</v>
      </c>
      <c r="H193" s="2" t="s">
        <v>26</v>
      </c>
      <c r="J193" s="2" t="s">
        <v>26</v>
      </c>
      <c r="K193" s="2" t="s">
        <v>26</v>
      </c>
      <c r="L193" s="2" t="s">
        <v>26</v>
      </c>
      <c r="M193" s="1">
        <v>2897</v>
      </c>
      <c r="N193" t="s">
        <v>34</v>
      </c>
      <c r="O193" s="5">
        <f>EDATE(O192,1)</f>
        <v>40909</v>
      </c>
      <c r="P193">
        <v>7</v>
      </c>
      <c r="Q193">
        <v>8</v>
      </c>
      <c r="R193" s="2">
        <v>42.627314814814831</v>
      </c>
      <c r="T193" s="2">
        <v>42.627314814814831</v>
      </c>
      <c r="U193" t="s">
        <v>29</v>
      </c>
      <c r="V193" t="s">
        <v>29</v>
      </c>
      <c r="W193">
        <v>8055.5555555555584</v>
      </c>
      <c r="X193">
        <v>277.77777777777777</v>
      </c>
      <c r="Y193">
        <v>42.627314814814831</v>
      </c>
    </row>
    <row r="194" spans="1:25" x14ac:dyDescent="0.25">
      <c r="A194">
        <v>1</v>
      </c>
      <c r="B194" s="1">
        <v>1001</v>
      </c>
      <c r="C194" s="2" t="s">
        <v>25</v>
      </c>
      <c r="D194" s="2">
        <v>21241.53</v>
      </c>
      <c r="E194" s="2">
        <v>17816.967777777783</v>
      </c>
      <c r="F194" s="1">
        <v>36</v>
      </c>
      <c r="G194" s="1">
        <v>8</v>
      </c>
      <c r="H194" s="2" t="s">
        <v>26</v>
      </c>
      <c r="J194" s="2" t="s">
        <v>26</v>
      </c>
      <c r="K194" s="2" t="s">
        <v>26</v>
      </c>
      <c r="L194" s="2" t="s">
        <v>26</v>
      </c>
      <c r="M194" s="1">
        <v>2897</v>
      </c>
      <c r="N194" t="s">
        <v>34</v>
      </c>
      <c r="O194" s="5">
        <f>EDATE(O193,1)</f>
        <v>40940</v>
      </c>
      <c r="P194">
        <v>8</v>
      </c>
      <c r="Q194">
        <v>9</v>
      </c>
      <c r="R194" s="2">
        <v>41.157407407407426</v>
      </c>
      <c r="T194" s="2">
        <v>41.157407407407426</v>
      </c>
      <c r="U194" t="s">
        <v>29</v>
      </c>
      <c r="V194" t="s">
        <v>29</v>
      </c>
      <c r="W194">
        <v>7777.777777777781</v>
      </c>
      <c r="X194">
        <v>277.77777777777777</v>
      </c>
      <c r="Y194">
        <v>41.157407407407426</v>
      </c>
    </row>
    <row r="195" spans="1:25" x14ac:dyDescent="0.25">
      <c r="A195">
        <v>1</v>
      </c>
      <c r="B195" s="1">
        <v>1001</v>
      </c>
      <c r="C195" s="2" t="s">
        <v>25</v>
      </c>
      <c r="D195" s="2">
        <v>21241.53</v>
      </c>
      <c r="E195" s="2">
        <v>17388.897500000006</v>
      </c>
      <c r="F195" s="1">
        <v>36</v>
      </c>
      <c r="G195" s="1">
        <v>9</v>
      </c>
      <c r="H195" s="2" t="s">
        <v>26</v>
      </c>
      <c r="J195" s="2" t="s">
        <v>26</v>
      </c>
      <c r="K195" s="2" t="s">
        <v>26</v>
      </c>
      <c r="L195" s="2" t="s">
        <v>26</v>
      </c>
      <c r="M195" s="1">
        <v>2897</v>
      </c>
      <c r="N195" t="s">
        <v>34</v>
      </c>
      <c r="O195" s="5">
        <f>EDATE(O194,1)</f>
        <v>40969</v>
      </c>
      <c r="P195">
        <v>9</v>
      </c>
      <c r="Q195">
        <v>10</v>
      </c>
      <c r="R195" s="2">
        <v>39.687500000000021</v>
      </c>
      <c r="T195" s="2">
        <v>39.687500000000021</v>
      </c>
      <c r="U195" t="s">
        <v>29</v>
      </c>
      <c r="V195" t="s">
        <v>29</v>
      </c>
      <c r="W195">
        <v>7500.0000000000036</v>
      </c>
      <c r="X195">
        <v>277.77777777777777</v>
      </c>
      <c r="Y195">
        <v>39.687500000000021</v>
      </c>
    </row>
    <row r="196" spans="1:25" x14ac:dyDescent="0.25">
      <c r="A196">
        <v>1</v>
      </c>
      <c r="B196" s="1">
        <v>1001</v>
      </c>
      <c r="C196" s="2" t="s">
        <v>25</v>
      </c>
      <c r="D196" s="2">
        <v>21241.53</v>
      </c>
      <c r="E196" s="2">
        <v>16960.827222222229</v>
      </c>
      <c r="F196" s="1">
        <v>36</v>
      </c>
      <c r="G196" s="1">
        <v>10</v>
      </c>
      <c r="H196" s="2" t="s">
        <v>26</v>
      </c>
      <c r="J196" s="2" t="s">
        <v>26</v>
      </c>
      <c r="K196" s="2" t="s">
        <v>26</v>
      </c>
      <c r="L196" s="2" t="s">
        <v>26</v>
      </c>
      <c r="M196" s="1">
        <v>2897</v>
      </c>
      <c r="N196" t="s">
        <v>34</v>
      </c>
      <c r="O196" s="5">
        <f>EDATE(O195,1)</f>
        <v>41000</v>
      </c>
      <c r="P196">
        <v>10</v>
      </c>
      <c r="Q196">
        <v>11</v>
      </c>
      <c r="R196" s="2">
        <v>38.217592592592617</v>
      </c>
      <c r="T196" s="2">
        <v>38.217592592592617</v>
      </c>
      <c r="U196" t="s">
        <v>29</v>
      </c>
      <c r="V196" t="s">
        <v>29</v>
      </c>
      <c r="W196">
        <v>7222.2222222222263</v>
      </c>
      <c r="X196">
        <v>277.77777777777777</v>
      </c>
      <c r="Y196">
        <v>38.217592592592617</v>
      </c>
    </row>
    <row r="197" spans="1:25" x14ac:dyDescent="0.25">
      <c r="A197">
        <v>1</v>
      </c>
      <c r="B197" s="1">
        <v>1001</v>
      </c>
      <c r="C197" s="2" t="s">
        <v>25</v>
      </c>
      <c r="D197" s="2">
        <v>21241.53</v>
      </c>
      <c r="E197" s="2">
        <v>16532.756944444453</v>
      </c>
      <c r="F197" s="1">
        <v>36</v>
      </c>
      <c r="G197" s="1">
        <v>11</v>
      </c>
      <c r="H197" s="2" t="s">
        <v>26</v>
      </c>
      <c r="J197" s="2" t="s">
        <v>26</v>
      </c>
      <c r="K197" s="2" t="s">
        <v>26</v>
      </c>
      <c r="L197" s="2" t="s">
        <v>26</v>
      </c>
      <c r="M197" s="1">
        <v>2897</v>
      </c>
      <c r="N197" t="s">
        <v>34</v>
      </c>
      <c r="O197" s="5">
        <f>EDATE(O196,1)</f>
        <v>41030</v>
      </c>
      <c r="P197">
        <v>11</v>
      </c>
      <c r="Q197">
        <v>12</v>
      </c>
      <c r="R197" s="2">
        <v>36.747685185185212</v>
      </c>
      <c r="T197" s="2">
        <v>36.747685185185212</v>
      </c>
      <c r="U197" t="s">
        <v>29</v>
      </c>
      <c r="V197" t="s">
        <v>29</v>
      </c>
      <c r="W197">
        <v>6944.4444444444489</v>
      </c>
      <c r="X197">
        <v>277.77777777777777</v>
      </c>
      <c r="Y197">
        <v>36.747685185185212</v>
      </c>
    </row>
    <row r="198" spans="1:25" x14ac:dyDescent="0.25">
      <c r="A198">
        <v>1</v>
      </c>
      <c r="B198" s="1">
        <v>1001</v>
      </c>
      <c r="C198" s="2" t="s">
        <v>25</v>
      </c>
      <c r="D198" s="2">
        <v>21241.53</v>
      </c>
      <c r="E198" s="2">
        <v>16104.686666666676</v>
      </c>
      <c r="F198" s="1">
        <v>36</v>
      </c>
      <c r="G198" s="1">
        <v>12</v>
      </c>
      <c r="H198" s="2" t="s">
        <v>26</v>
      </c>
      <c r="J198" s="2" t="s">
        <v>26</v>
      </c>
      <c r="K198" s="2" t="s">
        <v>26</v>
      </c>
      <c r="L198" s="2" t="s">
        <v>26</v>
      </c>
      <c r="M198" s="1">
        <v>2897</v>
      </c>
      <c r="N198" t="s">
        <v>34</v>
      </c>
      <c r="O198" s="5">
        <f>EDATE(O197,1)</f>
        <v>41061</v>
      </c>
      <c r="P198">
        <v>12</v>
      </c>
      <c r="Q198">
        <v>13</v>
      </c>
      <c r="R198" s="2">
        <v>35.277777777777807</v>
      </c>
      <c r="T198" s="2">
        <v>35.277777777777807</v>
      </c>
      <c r="U198" t="s">
        <v>29</v>
      </c>
      <c r="V198" t="s">
        <v>29</v>
      </c>
      <c r="W198">
        <v>6666.6666666666715</v>
      </c>
      <c r="X198">
        <v>277.77777777777777</v>
      </c>
      <c r="Y198">
        <v>35.277777777777807</v>
      </c>
    </row>
    <row r="199" spans="1:25" x14ac:dyDescent="0.25">
      <c r="A199">
        <v>1</v>
      </c>
      <c r="B199" s="1">
        <v>1001</v>
      </c>
      <c r="C199" s="2" t="s">
        <v>25</v>
      </c>
      <c r="D199" s="2">
        <v>21241.53</v>
      </c>
      <c r="E199" s="2">
        <v>15676.616388888899</v>
      </c>
      <c r="F199" s="1">
        <v>36</v>
      </c>
      <c r="G199" s="1">
        <v>13</v>
      </c>
      <c r="H199" s="2" t="s">
        <v>26</v>
      </c>
      <c r="J199" s="2" t="s">
        <v>26</v>
      </c>
      <c r="K199" s="2" t="s">
        <v>26</v>
      </c>
      <c r="L199" s="2" t="s">
        <v>26</v>
      </c>
      <c r="M199" s="1">
        <v>2897</v>
      </c>
      <c r="N199" t="s">
        <v>34</v>
      </c>
      <c r="O199" s="5">
        <f>EDATE(O198,1)</f>
        <v>41091</v>
      </c>
      <c r="P199">
        <v>13</v>
      </c>
      <c r="Q199">
        <v>14</v>
      </c>
      <c r="R199" s="2">
        <v>33.807870370370402</v>
      </c>
      <c r="T199" s="2">
        <v>33.807870370370402</v>
      </c>
      <c r="U199" t="s">
        <v>29</v>
      </c>
      <c r="V199" t="s">
        <v>29</v>
      </c>
      <c r="W199">
        <v>6388.8888888888941</v>
      </c>
      <c r="X199">
        <v>277.77777777777777</v>
      </c>
      <c r="Y199">
        <v>33.807870370370402</v>
      </c>
    </row>
    <row r="200" spans="1:25" x14ac:dyDescent="0.25">
      <c r="A200">
        <v>1</v>
      </c>
      <c r="B200" s="1">
        <v>1001</v>
      </c>
      <c r="C200" s="2" t="s">
        <v>25</v>
      </c>
      <c r="D200" s="2">
        <v>21241.53</v>
      </c>
      <c r="E200" s="2">
        <v>15248.546111111122</v>
      </c>
      <c r="F200" s="1">
        <v>36</v>
      </c>
      <c r="G200" s="1">
        <v>14</v>
      </c>
      <c r="H200" s="2" t="s">
        <v>26</v>
      </c>
      <c r="J200" s="2" t="s">
        <v>26</v>
      </c>
      <c r="K200" s="2" t="s">
        <v>26</v>
      </c>
      <c r="L200" s="2" t="s">
        <v>26</v>
      </c>
      <c r="M200" s="1">
        <v>2897</v>
      </c>
      <c r="N200" t="s">
        <v>34</v>
      </c>
      <c r="O200" s="5">
        <f>EDATE(O199,1)</f>
        <v>41122</v>
      </c>
      <c r="P200">
        <v>14</v>
      </c>
      <c r="Q200">
        <v>15</v>
      </c>
      <c r="R200" s="2">
        <v>32.337962962962997</v>
      </c>
      <c r="T200" s="2">
        <v>32.337962962962997</v>
      </c>
      <c r="U200" t="s">
        <v>29</v>
      </c>
      <c r="V200" t="s">
        <v>29</v>
      </c>
      <c r="W200">
        <v>6111.1111111111168</v>
      </c>
      <c r="X200">
        <v>277.77777777777777</v>
      </c>
      <c r="Y200">
        <v>32.337962962962997</v>
      </c>
    </row>
    <row r="201" spans="1:25" x14ac:dyDescent="0.25">
      <c r="A201">
        <v>1</v>
      </c>
      <c r="B201" s="1">
        <v>1001</v>
      </c>
      <c r="C201" s="2" t="s">
        <v>25</v>
      </c>
      <c r="D201" s="2">
        <v>21241.53</v>
      </c>
      <c r="E201" s="2">
        <v>14820.475833333345</v>
      </c>
      <c r="F201" s="1">
        <v>36</v>
      </c>
      <c r="G201" s="1">
        <v>15</v>
      </c>
      <c r="H201" s="2" t="s">
        <v>26</v>
      </c>
      <c r="J201" s="2" t="s">
        <v>26</v>
      </c>
      <c r="K201" s="2" t="s">
        <v>26</v>
      </c>
      <c r="L201" s="2" t="s">
        <v>26</v>
      </c>
      <c r="M201" s="1">
        <v>2897</v>
      </c>
      <c r="N201" t="s">
        <v>34</v>
      </c>
      <c r="O201" s="5">
        <f>EDATE(O200,1)</f>
        <v>41153</v>
      </c>
      <c r="P201">
        <v>15</v>
      </c>
      <c r="Q201">
        <v>16</v>
      </c>
      <c r="R201" s="2">
        <v>30.868055555555589</v>
      </c>
      <c r="T201" s="2">
        <v>30.868055555555589</v>
      </c>
      <c r="U201" t="s">
        <v>29</v>
      </c>
      <c r="V201" t="s">
        <v>29</v>
      </c>
      <c r="W201">
        <v>5833.3333333333394</v>
      </c>
      <c r="X201">
        <v>277.77777777777777</v>
      </c>
      <c r="Y201">
        <v>30.868055555555589</v>
      </c>
    </row>
    <row r="202" spans="1:25" x14ac:dyDescent="0.25">
      <c r="A202">
        <v>1</v>
      </c>
      <c r="B202" s="1">
        <v>1001</v>
      </c>
      <c r="C202" s="2" t="s">
        <v>25</v>
      </c>
      <c r="D202" s="2">
        <v>21241.53</v>
      </c>
      <c r="E202" s="2">
        <v>14392.405555555568</v>
      </c>
      <c r="F202" s="1">
        <v>36</v>
      </c>
      <c r="G202" s="1">
        <v>16</v>
      </c>
      <c r="H202" s="2" t="s">
        <v>26</v>
      </c>
      <c r="J202" s="2" t="s">
        <v>26</v>
      </c>
      <c r="K202" s="2" t="s">
        <v>26</v>
      </c>
      <c r="L202" s="2" t="s">
        <v>26</v>
      </c>
      <c r="M202" s="1">
        <v>2897</v>
      </c>
      <c r="N202" t="s">
        <v>34</v>
      </c>
      <c r="O202" s="5">
        <f>EDATE(O201,1)</f>
        <v>41183</v>
      </c>
      <c r="P202">
        <v>16</v>
      </c>
      <c r="Q202">
        <v>17</v>
      </c>
      <c r="R202" s="2">
        <v>29.398148148148181</v>
      </c>
      <c r="T202" s="2">
        <v>29.398148148148181</v>
      </c>
      <c r="U202" t="s">
        <v>29</v>
      </c>
      <c r="V202" t="s">
        <v>29</v>
      </c>
      <c r="W202">
        <v>5555.555555555562</v>
      </c>
      <c r="X202">
        <v>277.77777777777777</v>
      </c>
      <c r="Y202">
        <v>29.398148148148181</v>
      </c>
    </row>
    <row r="203" spans="1:25" x14ac:dyDescent="0.25">
      <c r="A203">
        <v>1</v>
      </c>
      <c r="B203" s="1">
        <v>1001</v>
      </c>
      <c r="C203" s="2" t="s">
        <v>25</v>
      </c>
      <c r="D203" s="2">
        <v>21241.53</v>
      </c>
      <c r="E203" s="2">
        <v>13964.335277777791</v>
      </c>
      <c r="F203" s="1">
        <v>36</v>
      </c>
      <c r="G203" s="1">
        <v>17</v>
      </c>
      <c r="H203" s="2" t="s">
        <v>26</v>
      </c>
      <c r="J203" s="2" t="s">
        <v>26</v>
      </c>
      <c r="K203" s="2" t="s">
        <v>26</v>
      </c>
      <c r="L203" s="2" t="s">
        <v>26</v>
      </c>
      <c r="M203" s="1">
        <v>2897</v>
      </c>
      <c r="N203" t="s">
        <v>34</v>
      </c>
      <c r="O203" s="5">
        <f>EDATE(O202,1)</f>
        <v>41214</v>
      </c>
      <c r="P203">
        <v>17</v>
      </c>
      <c r="Q203">
        <v>18</v>
      </c>
      <c r="R203" s="2">
        <v>27.928240740740776</v>
      </c>
      <c r="T203" s="2">
        <v>27.928240740740776</v>
      </c>
      <c r="U203" t="s">
        <v>29</v>
      </c>
      <c r="V203" t="s">
        <v>29</v>
      </c>
      <c r="W203">
        <v>5277.7777777777846</v>
      </c>
      <c r="X203">
        <v>277.77777777777777</v>
      </c>
      <c r="Y203">
        <v>27.928240740740776</v>
      </c>
    </row>
    <row r="204" spans="1:25" x14ac:dyDescent="0.25">
      <c r="A204">
        <v>1</v>
      </c>
      <c r="B204" s="1">
        <v>1001</v>
      </c>
      <c r="C204" s="2" t="s">
        <v>25</v>
      </c>
      <c r="D204" s="2">
        <v>21241.53</v>
      </c>
      <c r="E204" s="2">
        <v>13536.265000000014</v>
      </c>
      <c r="F204" s="1">
        <v>36</v>
      </c>
      <c r="G204" s="1">
        <v>18</v>
      </c>
      <c r="H204" s="2" t="s">
        <v>26</v>
      </c>
      <c r="J204" s="2" t="s">
        <v>26</v>
      </c>
      <c r="K204" s="2" t="s">
        <v>26</v>
      </c>
      <c r="L204" s="2" t="s">
        <v>26</v>
      </c>
      <c r="M204" s="1">
        <v>2897</v>
      </c>
      <c r="N204" t="s">
        <v>34</v>
      </c>
      <c r="O204" s="5">
        <f>EDATE(O203,1)</f>
        <v>41244</v>
      </c>
      <c r="P204">
        <v>18</v>
      </c>
      <c r="Q204">
        <v>19</v>
      </c>
      <c r="R204" s="2">
        <v>26.458333333333371</v>
      </c>
      <c r="T204" s="2">
        <v>26.458333333333371</v>
      </c>
      <c r="U204" t="s">
        <v>29</v>
      </c>
      <c r="V204" t="s">
        <v>29</v>
      </c>
      <c r="W204">
        <v>5000.0000000000073</v>
      </c>
      <c r="X204">
        <v>277.77777777777777</v>
      </c>
      <c r="Y204">
        <v>26.458333333333371</v>
      </c>
    </row>
    <row r="205" spans="1:25" x14ac:dyDescent="0.25">
      <c r="A205">
        <v>1</v>
      </c>
      <c r="B205" s="1">
        <v>1001</v>
      </c>
      <c r="C205" s="2" t="s">
        <v>25</v>
      </c>
      <c r="D205" s="2">
        <v>21241.53</v>
      </c>
      <c r="E205" s="2">
        <v>13108.194722222237</v>
      </c>
      <c r="F205" s="1">
        <v>36</v>
      </c>
      <c r="G205" s="1">
        <v>19</v>
      </c>
      <c r="H205" s="2" t="s">
        <v>26</v>
      </c>
      <c r="J205" s="2" t="s">
        <v>26</v>
      </c>
      <c r="K205" s="2" t="s">
        <v>26</v>
      </c>
      <c r="L205" s="2" t="s">
        <v>26</v>
      </c>
      <c r="M205" s="1">
        <v>2897</v>
      </c>
      <c r="N205" t="s">
        <v>34</v>
      </c>
      <c r="O205" s="5">
        <f>EDATE(O204,1)</f>
        <v>41275</v>
      </c>
      <c r="P205">
        <v>19</v>
      </c>
      <c r="Q205">
        <v>20</v>
      </c>
      <c r="R205" s="2">
        <v>24.988425925925966</v>
      </c>
      <c r="T205" s="2">
        <v>24.988425925925966</v>
      </c>
      <c r="U205" t="s">
        <v>29</v>
      </c>
      <c r="V205" t="s">
        <v>29</v>
      </c>
      <c r="W205">
        <v>4722.2222222222299</v>
      </c>
      <c r="X205">
        <v>277.77777777777777</v>
      </c>
      <c r="Y205">
        <v>24.988425925925966</v>
      </c>
    </row>
    <row r="206" spans="1:25" x14ac:dyDescent="0.25">
      <c r="A206">
        <v>1</v>
      </c>
      <c r="B206" s="1">
        <v>1001</v>
      </c>
      <c r="C206" s="2" t="s">
        <v>25</v>
      </c>
      <c r="D206" s="2">
        <v>21241.53</v>
      </c>
      <c r="E206" s="2">
        <v>12680.12444444446</v>
      </c>
      <c r="F206" s="1">
        <v>36</v>
      </c>
      <c r="G206" s="1">
        <v>20</v>
      </c>
      <c r="H206" s="2" t="s">
        <v>26</v>
      </c>
      <c r="J206" s="2" t="s">
        <v>26</v>
      </c>
      <c r="K206" s="2" t="s">
        <v>26</v>
      </c>
      <c r="L206" s="2" t="s">
        <v>26</v>
      </c>
      <c r="M206" s="1">
        <v>2897</v>
      </c>
      <c r="N206" t="s">
        <v>34</v>
      </c>
      <c r="O206" s="5">
        <f>EDATE(O205,1)</f>
        <v>41306</v>
      </c>
      <c r="P206">
        <v>20</v>
      </c>
      <c r="Q206">
        <v>21</v>
      </c>
      <c r="R206" s="2">
        <v>23.518518518518562</v>
      </c>
      <c r="T206" s="2">
        <v>23.518518518518562</v>
      </c>
      <c r="U206" t="s">
        <v>29</v>
      </c>
      <c r="V206" t="s">
        <v>29</v>
      </c>
      <c r="W206">
        <v>4444.4444444444525</v>
      </c>
      <c r="X206">
        <v>277.77777777777777</v>
      </c>
      <c r="Y206">
        <v>23.518518518518562</v>
      </c>
    </row>
    <row r="207" spans="1:25" x14ac:dyDescent="0.25">
      <c r="A207">
        <v>1</v>
      </c>
      <c r="B207" s="1">
        <v>1001</v>
      </c>
      <c r="C207" s="2" t="s">
        <v>25</v>
      </c>
      <c r="D207" s="2">
        <v>21241.53</v>
      </c>
      <c r="E207" s="2">
        <v>12252.054166666683</v>
      </c>
      <c r="F207" s="1">
        <v>36</v>
      </c>
      <c r="G207" s="1">
        <v>21</v>
      </c>
      <c r="H207" s="2" t="s">
        <v>26</v>
      </c>
      <c r="J207" s="2" t="s">
        <v>26</v>
      </c>
      <c r="K207" s="2" t="s">
        <v>26</v>
      </c>
      <c r="L207" s="2" t="s">
        <v>26</v>
      </c>
      <c r="M207" s="1">
        <v>2897</v>
      </c>
      <c r="N207" t="s">
        <v>34</v>
      </c>
      <c r="O207" s="5">
        <f>EDATE(O206,1)</f>
        <v>41334</v>
      </c>
      <c r="P207">
        <v>21</v>
      </c>
      <c r="Q207">
        <v>22</v>
      </c>
      <c r="R207" s="2">
        <v>22.048611111111157</v>
      </c>
      <c r="T207" s="2">
        <v>22.048611111111157</v>
      </c>
      <c r="U207" t="s">
        <v>29</v>
      </c>
      <c r="V207" t="s">
        <v>29</v>
      </c>
      <c r="W207">
        <v>4166.6666666666752</v>
      </c>
      <c r="X207">
        <v>277.77777777777777</v>
      </c>
      <c r="Y207">
        <v>22.048611111111157</v>
      </c>
    </row>
    <row r="208" spans="1:25" x14ac:dyDescent="0.25">
      <c r="A208">
        <v>1</v>
      </c>
      <c r="B208" s="1">
        <v>1001</v>
      </c>
      <c r="C208" s="2" t="s">
        <v>25</v>
      </c>
      <c r="D208" s="2">
        <v>21241.53</v>
      </c>
      <c r="E208" s="2">
        <v>11823.983888888906</v>
      </c>
      <c r="F208" s="1">
        <v>36</v>
      </c>
      <c r="G208" s="1">
        <v>22</v>
      </c>
      <c r="H208" s="2" t="s">
        <v>26</v>
      </c>
      <c r="J208" s="2" t="s">
        <v>26</v>
      </c>
      <c r="K208" s="2" t="s">
        <v>26</v>
      </c>
      <c r="L208" s="2" t="s">
        <v>26</v>
      </c>
      <c r="M208" s="1">
        <v>2897</v>
      </c>
      <c r="N208" t="s">
        <v>34</v>
      </c>
      <c r="O208" s="5">
        <f>EDATE(O207,1)</f>
        <v>41365</v>
      </c>
      <c r="P208">
        <v>22</v>
      </c>
      <c r="Q208">
        <v>23</v>
      </c>
      <c r="R208" s="2">
        <v>20.578703703703749</v>
      </c>
      <c r="T208" s="2">
        <v>20.578703703703749</v>
      </c>
      <c r="U208" t="s">
        <v>29</v>
      </c>
      <c r="V208" t="s">
        <v>29</v>
      </c>
      <c r="W208">
        <v>3888.8888888888973</v>
      </c>
      <c r="X208">
        <v>277.77777777777777</v>
      </c>
      <c r="Y208">
        <v>20.578703703703749</v>
      </c>
    </row>
    <row r="209" spans="1:25" x14ac:dyDescent="0.25">
      <c r="A209">
        <v>1</v>
      </c>
      <c r="B209" s="1">
        <v>1001</v>
      </c>
      <c r="C209" s="2" t="s">
        <v>25</v>
      </c>
      <c r="D209" s="2">
        <v>21241.53</v>
      </c>
      <c r="E209" s="2">
        <v>11395.913611111129</v>
      </c>
      <c r="F209" s="1">
        <v>36</v>
      </c>
      <c r="G209" s="1">
        <v>23</v>
      </c>
      <c r="H209" s="2" t="s">
        <v>26</v>
      </c>
      <c r="J209" s="2" t="s">
        <v>26</v>
      </c>
      <c r="K209" s="2" t="s">
        <v>26</v>
      </c>
      <c r="L209" s="2" t="s">
        <v>26</v>
      </c>
      <c r="M209" s="1">
        <v>2897</v>
      </c>
      <c r="N209" t="s">
        <v>34</v>
      </c>
      <c r="O209" s="5">
        <f>EDATE(O208,1)</f>
        <v>41395</v>
      </c>
      <c r="P209">
        <v>23</v>
      </c>
      <c r="Q209">
        <v>24</v>
      </c>
      <c r="R209" s="2">
        <v>19.10879629629634</v>
      </c>
      <c r="T209" s="2">
        <v>19.10879629629634</v>
      </c>
      <c r="U209" t="s">
        <v>29</v>
      </c>
      <c r="V209" t="s">
        <v>29</v>
      </c>
      <c r="W209">
        <v>3611.1111111111195</v>
      </c>
      <c r="X209">
        <v>277.77777777777777</v>
      </c>
      <c r="Y209">
        <v>19.10879629629634</v>
      </c>
    </row>
    <row r="210" spans="1:25" x14ac:dyDescent="0.25">
      <c r="A210">
        <v>1</v>
      </c>
      <c r="B210" s="1">
        <v>1001</v>
      </c>
      <c r="C210" s="2" t="s">
        <v>25</v>
      </c>
      <c r="D210" s="2">
        <v>21241.53</v>
      </c>
      <c r="E210" s="2">
        <v>10967.843333333352</v>
      </c>
      <c r="F210" s="1">
        <v>36</v>
      </c>
      <c r="G210" s="1">
        <v>24</v>
      </c>
      <c r="H210" s="2" t="s">
        <v>26</v>
      </c>
      <c r="J210" s="2" t="s">
        <v>26</v>
      </c>
      <c r="K210" s="2" t="s">
        <v>26</v>
      </c>
      <c r="L210" s="2" t="s">
        <v>26</v>
      </c>
      <c r="M210" s="1">
        <v>2897</v>
      </c>
      <c r="N210" t="s">
        <v>34</v>
      </c>
      <c r="O210" s="5">
        <f>EDATE(O209,1)</f>
        <v>41426</v>
      </c>
      <c r="P210">
        <v>24</v>
      </c>
      <c r="Q210">
        <v>25</v>
      </c>
      <c r="R210" s="2">
        <v>17.638888888888932</v>
      </c>
      <c r="T210" s="2">
        <v>17.638888888888932</v>
      </c>
      <c r="U210" t="s">
        <v>29</v>
      </c>
      <c r="V210" t="s">
        <v>29</v>
      </c>
      <c r="W210">
        <v>3333.3333333333417</v>
      </c>
      <c r="X210">
        <v>277.77777777777777</v>
      </c>
      <c r="Y210">
        <v>17.638888888888932</v>
      </c>
    </row>
    <row r="211" spans="1:25" x14ac:dyDescent="0.25">
      <c r="A211">
        <v>1</v>
      </c>
      <c r="B211" s="1">
        <v>1001</v>
      </c>
      <c r="C211" s="2" t="s">
        <v>25</v>
      </c>
      <c r="D211" s="2">
        <v>21241.53</v>
      </c>
      <c r="E211" s="2">
        <v>10539.773055555575</v>
      </c>
      <c r="F211" s="1">
        <v>36</v>
      </c>
      <c r="G211" s="1">
        <v>25</v>
      </c>
      <c r="H211" s="2" t="s">
        <v>26</v>
      </c>
      <c r="J211" s="2" t="s">
        <v>26</v>
      </c>
      <c r="K211" s="2" t="s">
        <v>26</v>
      </c>
      <c r="L211" s="2" t="s">
        <v>26</v>
      </c>
      <c r="M211" s="1">
        <v>2897</v>
      </c>
      <c r="N211" t="s">
        <v>34</v>
      </c>
      <c r="O211" s="5">
        <f>EDATE(O210,1)</f>
        <v>41456</v>
      </c>
      <c r="P211">
        <v>25</v>
      </c>
      <c r="Q211">
        <v>26</v>
      </c>
      <c r="R211" s="2">
        <v>16.168981481481527</v>
      </c>
      <c r="T211" s="2">
        <v>16.168981481481527</v>
      </c>
      <c r="U211" t="s">
        <v>29</v>
      </c>
      <c r="V211" t="s">
        <v>29</v>
      </c>
      <c r="W211">
        <v>3055.5555555555638</v>
      </c>
      <c r="X211">
        <v>277.77777777777777</v>
      </c>
      <c r="Y211">
        <v>16.168981481481527</v>
      </c>
    </row>
    <row r="212" spans="1:25" x14ac:dyDescent="0.25">
      <c r="A212">
        <v>1</v>
      </c>
      <c r="B212" s="1">
        <v>1001</v>
      </c>
      <c r="C212" s="2" t="s">
        <v>25</v>
      </c>
      <c r="D212" s="2">
        <v>21241.53</v>
      </c>
      <c r="E212" s="2">
        <v>10111.702777777798</v>
      </c>
      <c r="F212" s="1">
        <v>36</v>
      </c>
      <c r="G212" s="1">
        <v>26</v>
      </c>
      <c r="H212" s="2" t="s">
        <v>26</v>
      </c>
      <c r="J212" s="2" t="s">
        <v>26</v>
      </c>
      <c r="K212" s="2" t="s">
        <v>26</v>
      </c>
      <c r="L212" s="2" t="s">
        <v>26</v>
      </c>
      <c r="M212" s="1">
        <v>2897</v>
      </c>
      <c r="N212" t="s">
        <v>34</v>
      </c>
      <c r="O212" s="5">
        <f>EDATE(O211,1)</f>
        <v>41487</v>
      </c>
      <c r="P212">
        <v>26</v>
      </c>
      <c r="Q212">
        <v>27</v>
      </c>
      <c r="R212" s="2">
        <v>14.699074074074119</v>
      </c>
      <c r="T212" s="2">
        <v>14.699074074074119</v>
      </c>
      <c r="U212" t="s">
        <v>29</v>
      </c>
      <c r="V212" t="s">
        <v>29</v>
      </c>
      <c r="W212">
        <v>2777.777777777786</v>
      </c>
      <c r="X212">
        <v>277.77777777777777</v>
      </c>
      <c r="Y212">
        <v>14.699074074074119</v>
      </c>
    </row>
    <row r="213" spans="1:25" x14ac:dyDescent="0.25">
      <c r="A213">
        <v>1</v>
      </c>
      <c r="B213" s="1">
        <v>1001</v>
      </c>
      <c r="C213" s="2" t="s">
        <v>25</v>
      </c>
      <c r="D213" s="2">
        <v>21241.53</v>
      </c>
      <c r="E213" s="2">
        <v>9683.6325000000215</v>
      </c>
      <c r="F213" s="1">
        <v>36</v>
      </c>
      <c r="G213" s="1">
        <v>27</v>
      </c>
      <c r="H213" s="2" t="s">
        <v>26</v>
      </c>
      <c r="J213" s="2" t="s">
        <v>26</v>
      </c>
      <c r="K213" s="2" t="s">
        <v>26</v>
      </c>
      <c r="L213" s="2" t="s">
        <v>26</v>
      </c>
      <c r="M213" s="1">
        <v>2897</v>
      </c>
      <c r="N213" t="s">
        <v>34</v>
      </c>
      <c r="O213" s="5">
        <f>EDATE(O212,1)</f>
        <v>41518</v>
      </c>
      <c r="P213">
        <v>27</v>
      </c>
      <c r="Q213">
        <v>28</v>
      </c>
      <c r="R213" s="2">
        <v>13.229166666666709</v>
      </c>
      <c r="T213" s="2">
        <v>13.229166666666709</v>
      </c>
      <c r="U213" t="s">
        <v>29</v>
      </c>
      <c r="V213" t="s">
        <v>29</v>
      </c>
      <c r="W213">
        <v>2500.0000000000082</v>
      </c>
      <c r="X213">
        <v>277.77777777777777</v>
      </c>
      <c r="Y213">
        <v>13.229166666666709</v>
      </c>
    </row>
    <row r="214" spans="1:25" x14ac:dyDescent="0.25">
      <c r="A214">
        <v>1</v>
      </c>
      <c r="B214" s="1">
        <v>1001</v>
      </c>
      <c r="C214" s="2" t="s">
        <v>25</v>
      </c>
      <c r="D214" s="2">
        <v>21241.53</v>
      </c>
      <c r="E214" s="2">
        <v>9255.5622222222446</v>
      </c>
      <c r="F214" s="1">
        <v>36</v>
      </c>
      <c r="G214" s="1">
        <v>28</v>
      </c>
      <c r="H214" s="2" t="s">
        <v>26</v>
      </c>
      <c r="J214" s="2" t="s">
        <v>26</v>
      </c>
      <c r="K214" s="2" t="s">
        <v>26</v>
      </c>
      <c r="L214" s="2" t="s">
        <v>26</v>
      </c>
      <c r="M214" s="1">
        <v>2897</v>
      </c>
      <c r="N214" t="s">
        <v>34</v>
      </c>
      <c r="O214" s="5">
        <f>EDATE(O213,1)</f>
        <v>41548</v>
      </c>
      <c r="P214">
        <v>28</v>
      </c>
      <c r="Q214">
        <v>29</v>
      </c>
      <c r="R214" s="2">
        <v>11.759259259259302</v>
      </c>
      <c r="T214" s="2">
        <v>11.759259259259302</v>
      </c>
      <c r="U214" t="s">
        <v>29</v>
      </c>
      <c r="V214" t="s">
        <v>29</v>
      </c>
      <c r="W214">
        <v>2222.2222222222304</v>
      </c>
      <c r="X214">
        <v>277.77777777777777</v>
      </c>
      <c r="Y214">
        <v>11.759259259259302</v>
      </c>
    </row>
    <row r="215" spans="1:25" x14ac:dyDescent="0.25">
      <c r="A215">
        <v>1</v>
      </c>
      <c r="B215" s="1">
        <v>1001</v>
      </c>
      <c r="C215" s="2" t="s">
        <v>25</v>
      </c>
      <c r="D215" s="2">
        <v>21241.53</v>
      </c>
      <c r="E215" s="2">
        <v>8827.4919444444677</v>
      </c>
      <c r="F215" s="1">
        <v>36</v>
      </c>
      <c r="G215" s="1">
        <v>29</v>
      </c>
      <c r="H215" s="2" t="s">
        <v>26</v>
      </c>
      <c r="J215" s="2" t="s">
        <v>26</v>
      </c>
      <c r="K215" s="2" t="s">
        <v>26</v>
      </c>
      <c r="L215" s="2" t="s">
        <v>26</v>
      </c>
      <c r="M215" s="1">
        <v>2897</v>
      </c>
      <c r="N215" t="s">
        <v>34</v>
      </c>
      <c r="O215" s="5">
        <f>EDATE(O214,1)</f>
        <v>41579</v>
      </c>
      <c r="P215">
        <v>29</v>
      </c>
      <c r="Q215">
        <v>30</v>
      </c>
      <c r="R215" s="2">
        <v>10.289351851851896</v>
      </c>
      <c r="T215" s="2">
        <v>10.289351851851896</v>
      </c>
      <c r="U215" t="s">
        <v>29</v>
      </c>
      <c r="V215" t="s">
        <v>29</v>
      </c>
      <c r="W215">
        <v>1944.4444444444525</v>
      </c>
      <c r="X215">
        <v>277.77777777777777</v>
      </c>
      <c r="Y215">
        <v>10.289351851851896</v>
      </c>
    </row>
    <row r="216" spans="1:25" x14ac:dyDescent="0.25">
      <c r="A216">
        <v>1</v>
      </c>
      <c r="B216" s="1">
        <v>1001</v>
      </c>
      <c r="C216" s="2" t="s">
        <v>25</v>
      </c>
      <c r="D216" s="2">
        <v>21241.53</v>
      </c>
      <c r="E216" s="2">
        <v>8399.4216666666907</v>
      </c>
      <c r="F216" s="1">
        <v>36</v>
      </c>
      <c r="G216" s="1">
        <v>30</v>
      </c>
      <c r="H216" s="2" t="s">
        <v>26</v>
      </c>
      <c r="J216" s="2" t="s">
        <v>26</v>
      </c>
      <c r="K216" s="2" t="s">
        <v>26</v>
      </c>
      <c r="L216" s="2" t="s">
        <v>26</v>
      </c>
      <c r="M216" s="1">
        <v>2897</v>
      </c>
      <c r="N216" t="s">
        <v>34</v>
      </c>
      <c r="O216" s="5">
        <f>EDATE(O215,1)</f>
        <v>41609</v>
      </c>
      <c r="P216">
        <v>30</v>
      </c>
      <c r="Q216">
        <v>31</v>
      </c>
      <c r="R216" s="2">
        <v>8.8194444444444873</v>
      </c>
      <c r="T216" s="2">
        <v>8.8194444444444873</v>
      </c>
      <c r="U216" t="s">
        <v>29</v>
      </c>
      <c r="V216" t="s">
        <v>29</v>
      </c>
      <c r="W216">
        <v>1666.6666666666747</v>
      </c>
      <c r="X216">
        <v>277.77777777777777</v>
      </c>
      <c r="Y216">
        <v>8.8194444444444873</v>
      </c>
    </row>
    <row r="217" spans="1:25" x14ac:dyDescent="0.25">
      <c r="A217">
        <v>1</v>
      </c>
      <c r="B217" s="1">
        <v>1001</v>
      </c>
      <c r="C217" s="2" t="s">
        <v>25</v>
      </c>
      <c r="D217" s="2">
        <v>21241.53</v>
      </c>
      <c r="E217" s="2">
        <v>7971.3513888889129</v>
      </c>
      <c r="F217" s="1">
        <v>36</v>
      </c>
      <c r="G217" s="1">
        <v>31</v>
      </c>
      <c r="H217" s="2" t="s">
        <v>26</v>
      </c>
      <c r="J217" s="2" t="s">
        <v>26</v>
      </c>
      <c r="K217" s="2" t="s">
        <v>26</v>
      </c>
      <c r="L217" s="2" t="s">
        <v>26</v>
      </c>
      <c r="M217" s="1">
        <v>2897</v>
      </c>
      <c r="N217" t="s">
        <v>34</v>
      </c>
      <c r="O217" s="5">
        <f>EDATE(O216,1)</f>
        <v>41640</v>
      </c>
      <c r="P217">
        <v>31</v>
      </c>
      <c r="Q217">
        <v>32</v>
      </c>
      <c r="R217" s="2">
        <v>7.3495370370370798</v>
      </c>
      <c r="T217" s="2">
        <v>7.3495370370370798</v>
      </c>
      <c r="U217" t="s">
        <v>29</v>
      </c>
      <c r="V217" t="s">
        <v>29</v>
      </c>
      <c r="W217">
        <v>1388.8888888888969</v>
      </c>
      <c r="X217">
        <v>277.77777777777777</v>
      </c>
      <c r="Y217">
        <v>7.3495370370370798</v>
      </c>
    </row>
    <row r="218" spans="1:25" x14ac:dyDescent="0.25">
      <c r="A218">
        <v>1</v>
      </c>
      <c r="B218" s="1">
        <v>1001</v>
      </c>
      <c r="C218" s="2" t="s">
        <v>25</v>
      </c>
      <c r="D218" s="2">
        <v>21241.53</v>
      </c>
      <c r="E218" s="2">
        <v>7543.281111111135</v>
      </c>
      <c r="F218" s="1">
        <v>36</v>
      </c>
      <c r="G218" s="1">
        <v>32</v>
      </c>
      <c r="H218" s="2" t="s">
        <v>26</v>
      </c>
      <c r="J218" s="2" t="s">
        <v>26</v>
      </c>
      <c r="K218" s="2" t="s">
        <v>26</v>
      </c>
      <c r="L218" s="2" t="s">
        <v>26</v>
      </c>
      <c r="M218" s="1">
        <v>2897</v>
      </c>
      <c r="N218" t="s">
        <v>34</v>
      </c>
      <c r="O218" s="5">
        <f>EDATE(O217,1)</f>
        <v>41671</v>
      </c>
      <c r="P218">
        <v>32</v>
      </c>
      <c r="Q218">
        <v>33</v>
      </c>
      <c r="R218" s="2">
        <v>5.8796296296296715</v>
      </c>
      <c r="T218" s="2">
        <v>5.8796296296296715</v>
      </c>
      <c r="U218" t="s">
        <v>29</v>
      </c>
      <c r="V218" t="s">
        <v>29</v>
      </c>
      <c r="W218">
        <v>1111.111111111119</v>
      </c>
      <c r="X218">
        <v>277.77777777777777</v>
      </c>
      <c r="Y218">
        <v>5.8796296296296715</v>
      </c>
    </row>
    <row r="219" spans="1:25" x14ac:dyDescent="0.25">
      <c r="A219">
        <v>1</v>
      </c>
      <c r="B219" s="1">
        <v>1001</v>
      </c>
      <c r="C219" s="2" t="s">
        <v>25</v>
      </c>
      <c r="D219" s="2">
        <v>21241.53</v>
      </c>
      <c r="E219" s="2">
        <v>7115.2108333333572</v>
      </c>
      <c r="F219" s="1">
        <v>36</v>
      </c>
      <c r="G219" s="1">
        <v>33</v>
      </c>
      <c r="H219" s="2" t="s">
        <v>26</v>
      </c>
      <c r="J219" s="2" t="s">
        <v>26</v>
      </c>
      <c r="K219" s="2" t="s">
        <v>26</v>
      </c>
      <c r="L219" s="2" t="s">
        <v>26</v>
      </c>
      <c r="M219" s="1">
        <v>2897</v>
      </c>
      <c r="N219" t="s">
        <v>34</v>
      </c>
      <c r="O219" s="5">
        <f>EDATE(O218,1)</f>
        <v>41699</v>
      </c>
      <c r="P219">
        <v>33</v>
      </c>
      <c r="Q219">
        <v>34</v>
      </c>
      <c r="R219" s="2">
        <v>4.4097222222222641</v>
      </c>
      <c r="T219" s="2">
        <v>4.4097222222222641</v>
      </c>
      <c r="U219" t="s">
        <v>29</v>
      </c>
      <c r="V219" t="s">
        <v>29</v>
      </c>
      <c r="W219">
        <v>833.33333333334122</v>
      </c>
      <c r="X219">
        <v>277.77777777777777</v>
      </c>
      <c r="Y219">
        <v>4.4097222222222641</v>
      </c>
    </row>
    <row r="220" spans="1:25" x14ac:dyDescent="0.25">
      <c r="A220">
        <v>1</v>
      </c>
      <c r="B220" s="1">
        <v>1001</v>
      </c>
      <c r="C220" s="2" t="s">
        <v>25</v>
      </c>
      <c r="D220" s="2">
        <v>21241.53</v>
      </c>
      <c r="E220" s="2">
        <v>6687.1405555555793</v>
      </c>
      <c r="F220" s="1">
        <v>36</v>
      </c>
      <c r="G220" s="1">
        <v>34</v>
      </c>
      <c r="H220" s="2" t="s">
        <v>26</v>
      </c>
      <c r="J220" s="2" t="s">
        <v>26</v>
      </c>
      <c r="K220" s="2" t="s">
        <v>26</v>
      </c>
      <c r="L220" s="2" t="s">
        <v>26</v>
      </c>
      <c r="M220" s="1">
        <v>2897</v>
      </c>
      <c r="N220" t="s">
        <v>34</v>
      </c>
      <c r="O220" s="5">
        <f>EDATE(O219,1)</f>
        <v>41730</v>
      </c>
      <c r="P220">
        <v>34</v>
      </c>
      <c r="Q220">
        <v>35</v>
      </c>
      <c r="R220" s="2">
        <v>2.9398148148148562</v>
      </c>
      <c r="T220" s="2">
        <v>2.9398148148148562</v>
      </c>
      <c r="U220" t="s">
        <v>29</v>
      </c>
      <c r="V220" t="s">
        <v>29</v>
      </c>
      <c r="W220">
        <v>555.55555555556339</v>
      </c>
      <c r="X220">
        <v>277.77777777777777</v>
      </c>
      <c r="Y220">
        <v>2.9398148148148562</v>
      </c>
    </row>
    <row r="221" spans="1:25" x14ac:dyDescent="0.25">
      <c r="A221">
        <v>1</v>
      </c>
      <c r="B221" s="1">
        <v>1001</v>
      </c>
      <c r="C221" s="2" t="s">
        <v>25</v>
      </c>
      <c r="D221" s="2">
        <v>21241.53</v>
      </c>
      <c r="E221" s="2">
        <v>6259.0702777778015</v>
      </c>
      <c r="F221" s="1">
        <v>36</v>
      </c>
      <c r="G221" s="1">
        <v>35</v>
      </c>
      <c r="H221" s="2" t="s">
        <v>26</v>
      </c>
      <c r="J221" s="2" t="s">
        <v>26</v>
      </c>
      <c r="K221" s="2" t="s">
        <v>26</v>
      </c>
      <c r="L221" s="2" t="s">
        <v>26</v>
      </c>
      <c r="M221" s="1">
        <v>2897</v>
      </c>
      <c r="N221" t="s">
        <v>34</v>
      </c>
      <c r="O221" s="5">
        <f>EDATE(O220,1)</f>
        <v>41760</v>
      </c>
      <c r="P221">
        <v>35</v>
      </c>
      <c r="Q221">
        <v>36</v>
      </c>
      <c r="R221" s="2">
        <v>1.469907407407449</v>
      </c>
      <c r="T221" s="2">
        <v>1.469907407407449</v>
      </c>
      <c r="U221" t="s">
        <v>29</v>
      </c>
      <c r="V221" t="s">
        <v>29</v>
      </c>
      <c r="W221">
        <v>277.77777777778562</v>
      </c>
      <c r="X221">
        <v>277.77777777777777</v>
      </c>
      <c r="Y221">
        <v>1.469907407407449</v>
      </c>
    </row>
    <row r="222" spans="1:25" x14ac:dyDescent="0.25">
      <c r="A222">
        <v>1</v>
      </c>
      <c r="B222" s="1">
        <v>1001</v>
      </c>
      <c r="C222" s="2" t="s">
        <v>25</v>
      </c>
      <c r="D222" s="2">
        <v>21241.53</v>
      </c>
      <c r="E222" s="2">
        <v>5831.0000000000236</v>
      </c>
      <c r="F222" s="1">
        <v>36</v>
      </c>
      <c r="G222" s="1">
        <v>36</v>
      </c>
      <c r="H222" s="2" t="s">
        <v>26</v>
      </c>
      <c r="J222" s="2" t="s">
        <v>26</v>
      </c>
      <c r="K222" s="2" t="s">
        <v>26</v>
      </c>
      <c r="L222" s="2" t="s">
        <v>26</v>
      </c>
      <c r="M222" s="1">
        <v>2897</v>
      </c>
      <c r="N222" t="s">
        <v>34</v>
      </c>
      <c r="O222" s="5">
        <f>EDATE(O221,1)</f>
        <v>41791</v>
      </c>
      <c r="P222">
        <v>36</v>
      </c>
      <c r="Q222">
        <v>37</v>
      </c>
      <c r="R222" s="2">
        <v>4.150990662310505E-14</v>
      </c>
      <c r="T222" s="2">
        <v>4.150990662310505E-14</v>
      </c>
      <c r="U222" t="s">
        <v>29</v>
      </c>
      <c r="V222" t="s">
        <v>29</v>
      </c>
      <c r="W222">
        <v>7.8443918027915061E-12</v>
      </c>
      <c r="X222">
        <v>277.77777777777777</v>
      </c>
      <c r="Y222">
        <v>4.150990662310505E-14</v>
      </c>
    </row>
    <row r="223" spans="1:25" x14ac:dyDescent="0.25">
      <c r="A223">
        <v>1</v>
      </c>
      <c r="B223" s="1">
        <v>1001</v>
      </c>
      <c r="C223" s="2" t="s">
        <v>25</v>
      </c>
      <c r="D223" s="2">
        <v>21241.53</v>
      </c>
      <c r="E223" s="2">
        <v>5402.9297222222458</v>
      </c>
      <c r="F223" s="1">
        <v>36</v>
      </c>
      <c r="G223" s="1">
        <v>37</v>
      </c>
      <c r="H223" s="2" t="s">
        <v>26</v>
      </c>
      <c r="J223" s="2" t="s">
        <v>26</v>
      </c>
      <c r="K223" s="2">
        <v>10000</v>
      </c>
      <c r="L223" s="2" t="s">
        <v>26</v>
      </c>
      <c r="M223" s="1">
        <v>2897</v>
      </c>
      <c r="N223" t="s">
        <v>34</v>
      </c>
      <c r="O223" s="5">
        <f>EDATE(O222,1)</f>
        <v>41821</v>
      </c>
      <c r="P223">
        <v>37</v>
      </c>
      <c r="Q223">
        <v>999</v>
      </c>
      <c r="R223" s="2">
        <v>0</v>
      </c>
      <c r="T223" s="2">
        <v>0</v>
      </c>
      <c r="U223" t="s">
        <v>29</v>
      </c>
      <c r="V223" t="s">
        <v>29</v>
      </c>
      <c r="W223">
        <v>-277.77777777776993</v>
      </c>
      <c r="X223">
        <v>277.77777777777777</v>
      </c>
      <c r="Y223">
        <v>-1.4699074074073659</v>
      </c>
    </row>
    <row r="224" spans="1:25" x14ac:dyDescent="0.25">
      <c r="A224">
        <v>1</v>
      </c>
      <c r="B224" s="1">
        <v>1001</v>
      </c>
      <c r="C224" s="2" t="s">
        <v>25</v>
      </c>
      <c r="D224" s="2">
        <v>21241.53</v>
      </c>
      <c r="E224" s="2">
        <v>20813.459722222222</v>
      </c>
      <c r="F224" s="1">
        <v>36</v>
      </c>
      <c r="G224" s="1">
        <v>1</v>
      </c>
      <c r="H224" s="2" t="s">
        <v>26</v>
      </c>
      <c r="J224" s="2" t="s">
        <v>26</v>
      </c>
      <c r="K224" s="2" t="s">
        <v>26</v>
      </c>
      <c r="L224" s="2" t="s">
        <v>26</v>
      </c>
      <c r="M224" s="1">
        <v>2895</v>
      </c>
      <c r="N224" t="s">
        <v>35</v>
      </c>
      <c r="O224" s="5">
        <v>40725</v>
      </c>
      <c r="P224">
        <v>1</v>
      </c>
      <c r="Q224">
        <v>2</v>
      </c>
      <c r="R224" s="2">
        <v>329.22453703703707</v>
      </c>
      <c r="T224" s="2">
        <v>329.22453703703707</v>
      </c>
      <c r="U224" t="s">
        <v>29</v>
      </c>
      <c r="V224" t="s">
        <v>29</v>
      </c>
      <c r="W224">
        <v>9722.2222222222226</v>
      </c>
      <c r="X224">
        <v>277.77777777777777</v>
      </c>
      <c r="Y224">
        <v>51.446759259259267</v>
      </c>
    </row>
    <row r="225" spans="1:25" x14ac:dyDescent="0.25">
      <c r="A225">
        <v>1</v>
      </c>
      <c r="B225" s="1">
        <v>1001</v>
      </c>
      <c r="C225" s="2" t="s">
        <v>25</v>
      </c>
      <c r="D225" s="2">
        <v>21241.53</v>
      </c>
      <c r="E225" s="2">
        <v>20385.389444444445</v>
      </c>
      <c r="F225" s="1">
        <v>36</v>
      </c>
      <c r="G225" s="1">
        <v>2</v>
      </c>
      <c r="H225" s="2" t="s">
        <v>26</v>
      </c>
      <c r="J225" s="2" t="s">
        <v>26</v>
      </c>
      <c r="K225" s="2" t="s">
        <v>26</v>
      </c>
      <c r="L225" s="2" t="s">
        <v>26</v>
      </c>
      <c r="M225" s="1">
        <v>2895</v>
      </c>
      <c r="N225" t="s">
        <v>35</v>
      </c>
      <c r="O225" s="5">
        <f>EDATE(O224,1)</f>
        <v>40756</v>
      </c>
      <c r="P225">
        <v>2</v>
      </c>
      <c r="Q225">
        <v>3</v>
      </c>
      <c r="R225" s="2">
        <v>327.75462962962962</v>
      </c>
      <c r="T225" s="2">
        <v>327.75462962962962</v>
      </c>
      <c r="U225" t="s">
        <v>29</v>
      </c>
      <c r="V225" t="s">
        <v>29</v>
      </c>
      <c r="W225">
        <v>9444.4444444444453</v>
      </c>
      <c r="X225">
        <v>277.77777777777777</v>
      </c>
      <c r="Y225">
        <v>49.976851851851855</v>
      </c>
    </row>
    <row r="226" spans="1:25" x14ac:dyDescent="0.25">
      <c r="A226">
        <v>1</v>
      </c>
      <c r="B226" s="1">
        <v>1001</v>
      </c>
      <c r="C226" s="2" t="s">
        <v>25</v>
      </c>
      <c r="D226" s="2">
        <v>21241.53</v>
      </c>
      <c r="E226" s="2">
        <v>19957.319166666668</v>
      </c>
      <c r="F226" s="1">
        <v>36</v>
      </c>
      <c r="G226" s="1">
        <v>3</v>
      </c>
      <c r="H226" s="2" t="s">
        <v>26</v>
      </c>
      <c r="J226" s="2" t="s">
        <v>26</v>
      </c>
      <c r="K226" s="2" t="s">
        <v>26</v>
      </c>
      <c r="L226" s="2" t="s">
        <v>26</v>
      </c>
      <c r="M226" s="1">
        <v>2895</v>
      </c>
      <c r="N226" t="s">
        <v>35</v>
      </c>
      <c r="O226" s="5">
        <f>EDATE(O225,1)</f>
        <v>40787</v>
      </c>
      <c r="P226">
        <v>3</v>
      </c>
      <c r="Q226">
        <v>4</v>
      </c>
      <c r="R226" s="2">
        <v>326.28472222222223</v>
      </c>
      <c r="T226" s="2">
        <v>326.28472222222223</v>
      </c>
      <c r="U226" t="s">
        <v>29</v>
      </c>
      <c r="V226" t="s">
        <v>29</v>
      </c>
      <c r="W226">
        <v>9166.6666666666679</v>
      </c>
      <c r="X226">
        <v>277.77777777777777</v>
      </c>
      <c r="Y226">
        <v>48.50694444444445</v>
      </c>
    </row>
    <row r="227" spans="1:25" x14ac:dyDescent="0.25">
      <c r="A227">
        <v>1</v>
      </c>
      <c r="B227" s="1">
        <v>1001</v>
      </c>
      <c r="C227" s="2" t="s">
        <v>25</v>
      </c>
      <c r="D227" s="2">
        <v>21241.53</v>
      </c>
      <c r="E227" s="2">
        <v>19529.248888888891</v>
      </c>
      <c r="F227" s="1">
        <v>36</v>
      </c>
      <c r="G227" s="1">
        <v>4</v>
      </c>
      <c r="H227" s="2" t="s">
        <v>26</v>
      </c>
      <c r="J227" s="2" t="s">
        <v>26</v>
      </c>
      <c r="K227" s="2" t="s">
        <v>26</v>
      </c>
      <c r="L227" s="2" t="s">
        <v>26</v>
      </c>
      <c r="M227" s="1">
        <v>2895</v>
      </c>
      <c r="N227" t="s">
        <v>35</v>
      </c>
      <c r="O227" s="5">
        <f>EDATE(O226,1)</f>
        <v>40817</v>
      </c>
      <c r="P227">
        <v>4</v>
      </c>
      <c r="Q227">
        <v>5</v>
      </c>
      <c r="R227" s="2">
        <v>324.81481481481484</v>
      </c>
      <c r="T227" s="2">
        <v>324.81481481481484</v>
      </c>
      <c r="U227" t="s">
        <v>29</v>
      </c>
      <c r="V227" t="s">
        <v>29</v>
      </c>
      <c r="W227">
        <v>8888.8888888888905</v>
      </c>
      <c r="X227">
        <v>277.77777777777777</v>
      </c>
      <c r="Y227">
        <v>47.037037037037045</v>
      </c>
    </row>
    <row r="228" spans="1:25" x14ac:dyDescent="0.25">
      <c r="A228">
        <v>1</v>
      </c>
      <c r="B228" s="1">
        <v>1001</v>
      </c>
      <c r="C228" s="2" t="s">
        <v>25</v>
      </c>
      <c r="D228" s="2">
        <v>21241.53</v>
      </c>
      <c r="E228" s="2">
        <v>19101.178611111114</v>
      </c>
      <c r="F228" s="1">
        <v>36</v>
      </c>
      <c r="G228" s="1">
        <v>5</v>
      </c>
      <c r="H228" s="2" t="s">
        <v>26</v>
      </c>
      <c r="J228" s="2" t="s">
        <v>26</v>
      </c>
      <c r="K228" s="2" t="s">
        <v>26</v>
      </c>
      <c r="L228" s="2" t="s">
        <v>26</v>
      </c>
      <c r="M228" s="1">
        <v>2895</v>
      </c>
      <c r="N228" t="s">
        <v>35</v>
      </c>
      <c r="O228" s="5">
        <f>EDATE(O227,1)</f>
        <v>40848</v>
      </c>
      <c r="P228">
        <v>5</v>
      </c>
      <c r="Q228">
        <v>6</v>
      </c>
      <c r="R228" s="2">
        <v>323.34490740740739</v>
      </c>
      <c r="T228" s="2">
        <v>323.34490740740739</v>
      </c>
      <c r="U228" t="s">
        <v>29</v>
      </c>
      <c r="V228" t="s">
        <v>29</v>
      </c>
      <c r="W228">
        <v>8611.1111111111131</v>
      </c>
      <c r="X228">
        <v>277.77777777777777</v>
      </c>
      <c r="Y228">
        <v>45.56712962962964</v>
      </c>
    </row>
    <row r="229" spans="1:25" x14ac:dyDescent="0.25">
      <c r="A229">
        <v>1</v>
      </c>
      <c r="B229" s="1">
        <v>1001</v>
      </c>
      <c r="C229" s="2" t="s">
        <v>25</v>
      </c>
      <c r="D229" s="2">
        <v>21241.53</v>
      </c>
      <c r="E229" s="2">
        <v>18673.108333333337</v>
      </c>
      <c r="F229" s="1">
        <v>36</v>
      </c>
      <c r="G229" s="1">
        <v>6</v>
      </c>
      <c r="H229" s="2" t="s">
        <v>26</v>
      </c>
      <c r="J229" s="2" t="s">
        <v>26</v>
      </c>
      <c r="K229" s="2" t="s">
        <v>26</v>
      </c>
      <c r="L229" s="2" t="s">
        <v>26</v>
      </c>
      <c r="M229" s="1">
        <v>2895</v>
      </c>
      <c r="N229" t="s">
        <v>35</v>
      </c>
      <c r="O229" s="5">
        <f>EDATE(O228,1)</f>
        <v>40878</v>
      </c>
      <c r="P229">
        <v>6</v>
      </c>
      <c r="Q229">
        <v>7</v>
      </c>
      <c r="R229" s="2">
        <v>321.875</v>
      </c>
      <c r="T229" s="2">
        <v>321.875</v>
      </c>
      <c r="U229" t="s">
        <v>29</v>
      </c>
      <c r="V229" t="s">
        <v>29</v>
      </c>
      <c r="W229">
        <v>8333.3333333333358</v>
      </c>
      <c r="X229">
        <v>277.77777777777777</v>
      </c>
      <c r="Y229">
        <v>44.097222222222236</v>
      </c>
    </row>
    <row r="230" spans="1:25" x14ac:dyDescent="0.25">
      <c r="A230">
        <v>1</v>
      </c>
      <c r="B230" s="1">
        <v>1001</v>
      </c>
      <c r="C230" s="2" t="s">
        <v>25</v>
      </c>
      <c r="D230" s="2">
        <v>21241.53</v>
      </c>
      <c r="E230" s="2">
        <v>18245.03805555556</v>
      </c>
      <c r="F230" s="1">
        <v>36</v>
      </c>
      <c r="G230" s="1">
        <v>7</v>
      </c>
      <c r="H230" s="2" t="s">
        <v>26</v>
      </c>
      <c r="J230" s="2" t="s">
        <v>26</v>
      </c>
      <c r="K230" s="2" t="s">
        <v>26</v>
      </c>
      <c r="L230" s="2" t="s">
        <v>26</v>
      </c>
      <c r="M230" s="1">
        <v>2895</v>
      </c>
      <c r="N230" t="s">
        <v>35</v>
      </c>
      <c r="O230" s="5">
        <f>EDATE(O229,1)</f>
        <v>40909</v>
      </c>
      <c r="P230">
        <v>7</v>
      </c>
      <c r="Q230">
        <v>8</v>
      </c>
      <c r="R230" s="2">
        <v>320.40509259259261</v>
      </c>
      <c r="T230" s="2">
        <v>320.40509259259261</v>
      </c>
      <c r="U230" t="s">
        <v>29</v>
      </c>
      <c r="V230" t="s">
        <v>29</v>
      </c>
      <c r="W230">
        <v>8055.5555555555584</v>
      </c>
      <c r="X230">
        <v>277.77777777777777</v>
      </c>
      <c r="Y230">
        <v>42.627314814814831</v>
      </c>
    </row>
    <row r="231" spans="1:25" x14ac:dyDescent="0.25">
      <c r="A231">
        <v>1</v>
      </c>
      <c r="B231" s="1">
        <v>1001</v>
      </c>
      <c r="C231" s="2" t="s">
        <v>25</v>
      </c>
      <c r="D231" s="2">
        <v>21241.53</v>
      </c>
      <c r="E231" s="2">
        <v>17816.967777777783</v>
      </c>
      <c r="F231" s="1">
        <v>36</v>
      </c>
      <c r="G231" s="1">
        <v>8</v>
      </c>
      <c r="H231" s="2" t="s">
        <v>26</v>
      </c>
      <c r="J231" s="2" t="s">
        <v>26</v>
      </c>
      <c r="K231" s="2" t="s">
        <v>26</v>
      </c>
      <c r="L231" s="2" t="s">
        <v>26</v>
      </c>
      <c r="M231" s="1">
        <v>2895</v>
      </c>
      <c r="N231" t="s">
        <v>35</v>
      </c>
      <c r="O231" s="5">
        <f>EDATE(O230,1)</f>
        <v>40940</v>
      </c>
      <c r="P231">
        <v>8</v>
      </c>
      <c r="Q231">
        <v>9</v>
      </c>
      <c r="R231" s="2">
        <v>318.93518518518522</v>
      </c>
      <c r="T231" s="2">
        <v>318.93518518518522</v>
      </c>
      <c r="U231" t="s">
        <v>29</v>
      </c>
      <c r="V231" t="s">
        <v>29</v>
      </c>
      <c r="W231">
        <v>7777.777777777781</v>
      </c>
      <c r="X231">
        <v>277.77777777777777</v>
      </c>
      <c r="Y231">
        <v>41.157407407407426</v>
      </c>
    </row>
    <row r="232" spans="1:25" x14ac:dyDescent="0.25">
      <c r="A232">
        <v>1</v>
      </c>
      <c r="B232" s="1">
        <v>1001</v>
      </c>
      <c r="C232" s="2" t="s">
        <v>25</v>
      </c>
      <c r="D232" s="2">
        <v>21241.53</v>
      </c>
      <c r="E232" s="2">
        <v>17388.897500000006</v>
      </c>
      <c r="F232" s="1">
        <v>36</v>
      </c>
      <c r="G232" s="1">
        <v>9</v>
      </c>
      <c r="H232" s="2" t="s">
        <v>26</v>
      </c>
      <c r="J232" s="2" t="s">
        <v>26</v>
      </c>
      <c r="K232" s="2" t="s">
        <v>26</v>
      </c>
      <c r="L232" s="2" t="s">
        <v>26</v>
      </c>
      <c r="M232" s="1">
        <v>2895</v>
      </c>
      <c r="N232" t="s">
        <v>35</v>
      </c>
      <c r="O232" s="5">
        <f>EDATE(O231,1)</f>
        <v>40969</v>
      </c>
      <c r="P232">
        <v>9</v>
      </c>
      <c r="Q232">
        <v>10</v>
      </c>
      <c r="R232" s="2">
        <v>317.46527777777777</v>
      </c>
      <c r="T232" s="2">
        <v>317.46527777777777</v>
      </c>
      <c r="U232" t="s">
        <v>29</v>
      </c>
      <c r="V232" t="s">
        <v>29</v>
      </c>
      <c r="W232">
        <v>7500.0000000000036</v>
      </c>
      <c r="X232">
        <v>277.77777777777777</v>
      </c>
      <c r="Y232">
        <v>39.687500000000021</v>
      </c>
    </row>
    <row r="233" spans="1:25" x14ac:dyDescent="0.25">
      <c r="A233">
        <v>1</v>
      </c>
      <c r="B233" s="1">
        <v>1001</v>
      </c>
      <c r="C233" s="2" t="s">
        <v>25</v>
      </c>
      <c r="D233" s="2">
        <v>21241.53</v>
      </c>
      <c r="E233" s="2">
        <v>16960.827222222229</v>
      </c>
      <c r="F233" s="1">
        <v>36</v>
      </c>
      <c r="G233" s="1">
        <v>10</v>
      </c>
      <c r="H233" s="2" t="s">
        <v>26</v>
      </c>
      <c r="J233" s="2" t="s">
        <v>26</v>
      </c>
      <c r="K233" s="2" t="s">
        <v>26</v>
      </c>
      <c r="L233" s="2" t="s">
        <v>26</v>
      </c>
      <c r="M233" s="1">
        <v>2895</v>
      </c>
      <c r="N233" t="s">
        <v>35</v>
      </c>
      <c r="O233" s="5">
        <f>EDATE(O232,1)</f>
        <v>41000</v>
      </c>
      <c r="P233">
        <v>10</v>
      </c>
      <c r="Q233">
        <v>11</v>
      </c>
      <c r="R233" s="2">
        <v>315.99537037037038</v>
      </c>
      <c r="T233" s="2">
        <v>315.99537037037038</v>
      </c>
      <c r="U233" t="s">
        <v>29</v>
      </c>
      <c r="V233" t="s">
        <v>29</v>
      </c>
      <c r="W233">
        <v>7222.2222222222263</v>
      </c>
      <c r="X233">
        <v>277.77777777777777</v>
      </c>
      <c r="Y233">
        <v>38.217592592592617</v>
      </c>
    </row>
    <row r="234" spans="1:25" x14ac:dyDescent="0.25">
      <c r="A234">
        <v>1</v>
      </c>
      <c r="B234" s="1">
        <v>1001</v>
      </c>
      <c r="C234" s="2" t="s">
        <v>25</v>
      </c>
      <c r="D234" s="2">
        <v>21241.53</v>
      </c>
      <c r="E234" s="2">
        <v>16532.756944444453</v>
      </c>
      <c r="F234" s="1">
        <v>36</v>
      </c>
      <c r="G234" s="1">
        <v>11</v>
      </c>
      <c r="H234" s="2" t="s">
        <v>26</v>
      </c>
      <c r="J234" s="2" t="s">
        <v>26</v>
      </c>
      <c r="K234" s="2" t="s">
        <v>26</v>
      </c>
      <c r="L234" s="2" t="s">
        <v>26</v>
      </c>
      <c r="M234" s="1">
        <v>2895</v>
      </c>
      <c r="N234" t="s">
        <v>35</v>
      </c>
      <c r="O234" s="5">
        <f>EDATE(O233,1)</f>
        <v>41030</v>
      </c>
      <c r="P234">
        <v>11</v>
      </c>
      <c r="Q234">
        <v>12</v>
      </c>
      <c r="R234" s="2">
        <v>314.52546296296299</v>
      </c>
      <c r="T234" s="2">
        <v>314.52546296296299</v>
      </c>
      <c r="U234" t="s">
        <v>29</v>
      </c>
      <c r="V234" t="s">
        <v>29</v>
      </c>
      <c r="W234">
        <v>6944.4444444444489</v>
      </c>
      <c r="X234">
        <v>277.77777777777777</v>
      </c>
      <c r="Y234">
        <v>36.747685185185212</v>
      </c>
    </row>
    <row r="235" spans="1:25" x14ac:dyDescent="0.25">
      <c r="A235">
        <v>1</v>
      </c>
      <c r="B235" s="1">
        <v>1001</v>
      </c>
      <c r="C235" s="2" t="s">
        <v>25</v>
      </c>
      <c r="D235" s="2">
        <v>21241.53</v>
      </c>
      <c r="E235" s="2">
        <v>16104.686666666676</v>
      </c>
      <c r="F235" s="1">
        <v>36</v>
      </c>
      <c r="G235" s="1">
        <v>12</v>
      </c>
      <c r="H235" s="2" t="s">
        <v>26</v>
      </c>
      <c r="J235" s="2" t="s">
        <v>26</v>
      </c>
      <c r="K235" s="2" t="s">
        <v>26</v>
      </c>
      <c r="L235" s="2" t="s">
        <v>26</v>
      </c>
      <c r="M235" s="1">
        <v>2895</v>
      </c>
      <c r="N235" t="s">
        <v>35</v>
      </c>
      <c r="O235" s="5">
        <f>EDATE(O234,1)</f>
        <v>41061</v>
      </c>
      <c r="P235">
        <v>12</v>
      </c>
      <c r="Q235">
        <v>13</v>
      </c>
      <c r="R235" s="2">
        <v>313.0555555555556</v>
      </c>
      <c r="T235" s="2">
        <v>313.0555555555556</v>
      </c>
      <c r="U235" t="s">
        <v>29</v>
      </c>
      <c r="V235" t="s">
        <v>29</v>
      </c>
      <c r="W235">
        <v>6666.6666666666715</v>
      </c>
      <c r="X235">
        <v>277.77777777777777</v>
      </c>
      <c r="Y235">
        <v>35.277777777777807</v>
      </c>
    </row>
    <row r="236" spans="1:25" x14ac:dyDescent="0.25">
      <c r="A236">
        <v>1</v>
      </c>
      <c r="B236" s="1">
        <v>1001</v>
      </c>
      <c r="C236" s="2" t="s">
        <v>25</v>
      </c>
      <c r="D236" s="2">
        <v>21241.53</v>
      </c>
      <c r="E236" s="2">
        <v>15676.616388888899</v>
      </c>
      <c r="F236" s="1">
        <v>36</v>
      </c>
      <c r="G236" s="1">
        <v>13</v>
      </c>
      <c r="H236" s="2" t="s">
        <v>26</v>
      </c>
      <c r="J236" s="2" t="s">
        <v>26</v>
      </c>
      <c r="K236" s="2" t="s">
        <v>26</v>
      </c>
      <c r="L236" s="2" t="s">
        <v>26</v>
      </c>
      <c r="M236" s="1">
        <v>2895</v>
      </c>
      <c r="N236" t="s">
        <v>35</v>
      </c>
      <c r="O236" s="5">
        <f>EDATE(O235,1)</f>
        <v>41091</v>
      </c>
      <c r="P236">
        <v>13</v>
      </c>
      <c r="Q236">
        <v>14</v>
      </c>
      <c r="R236" s="2">
        <v>311.58564814814815</v>
      </c>
      <c r="T236" s="2">
        <v>311.58564814814815</v>
      </c>
      <c r="U236" t="s">
        <v>29</v>
      </c>
      <c r="V236" t="s">
        <v>29</v>
      </c>
      <c r="W236">
        <v>6388.8888888888941</v>
      </c>
      <c r="X236">
        <v>277.77777777777777</v>
      </c>
      <c r="Y236">
        <v>33.807870370370402</v>
      </c>
    </row>
    <row r="237" spans="1:25" x14ac:dyDescent="0.25">
      <c r="A237">
        <v>1</v>
      </c>
      <c r="B237" s="1">
        <v>1001</v>
      </c>
      <c r="C237" s="2" t="s">
        <v>25</v>
      </c>
      <c r="D237" s="2">
        <v>21241.53</v>
      </c>
      <c r="E237" s="2">
        <v>15248.546111111122</v>
      </c>
      <c r="F237" s="1">
        <v>36</v>
      </c>
      <c r="G237" s="1">
        <v>14</v>
      </c>
      <c r="H237" s="2" t="s">
        <v>26</v>
      </c>
      <c r="J237" s="2" t="s">
        <v>26</v>
      </c>
      <c r="K237" s="2" t="s">
        <v>26</v>
      </c>
      <c r="L237" s="2" t="s">
        <v>26</v>
      </c>
      <c r="M237" s="1">
        <v>2895</v>
      </c>
      <c r="N237" t="s">
        <v>35</v>
      </c>
      <c r="O237" s="5">
        <f>EDATE(O236,1)</f>
        <v>41122</v>
      </c>
      <c r="P237">
        <v>14</v>
      </c>
      <c r="Q237">
        <v>15</v>
      </c>
      <c r="R237" s="2">
        <v>310.11574074074076</v>
      </c>
      <c r="T237" s="2">
        <v>310.11574074074076</v>
      </c>
      <c r="U237" t="s">
        <v>29</v>
      </c>
      <c r="V237" t="s">
        <v>29</v>
      </c>
      <c r="W237">
        <v>6111.1111111111168</v>
      </c>
      <c r="X237">
        <v>277.77777777777777</v>
      </c>
      <c r="Y237">
        <v>32.337962962962997</v>
      </c>
    </row>
    <row r="238" spans="1:25" x14ac:dyDescent="0.25">
      <c r="A238">
        <v>1</v>
      </c>
      <c r="B238" s="1">
        <v>1001</v>
      </c>
      <c r="C238" s="2" t="s">
        <v>25</v>
      </c>
      <c r="D238" s="2">
        <v>21241.53</v>
      </c>
      <c r="E238" s="2">
        <v>14820.475833333345</v>
      </c>
      <c r="F238" s="1">
        <v>36</v>
      </c>
      <c r="G238" s="1">
        <v>15</v>
      </c>
      <c r="H238" s="2" t="s">
        <v>26</v>
      </c>
      <c r="J238" s="2" t="s">
        <v>26</v>
      </c>
      <c r="K238" s="2" t="s">
        <v>26</v>
      </c>
      <c r="L238" s="2" t="s">
        <v>26</v>
      </c>
      <c r="M238" s="1">
        <v>2895</v>
      </c>
      <c r="N238" t="s">
        <v>35</v>
      </c>
      <c r="O238" s="5">
        <f>EDATE(O237,1)</f>
        <v>41153</v>
      </c>
      <c r="P238">
        <v>15</v>
      </c>
      <c r="Q238">
        <v>16</v>
      </c>
      <c r="R238" s="2">
        <v>308.64583333333337</v>
      </c>
      <c r="T238" s="2">
        <v>308.64583333333337</v>
      </c>
      <c r="U238" t="s">
        <v>29</v>
      </c>
      <c r="V238" t="s">
        <v>29</v>
      </c>
      <c r="W238">
        <v>5833.3333333333394</v>
      </c>
      <c r="X238">
        <v>277.77777777777777</v>
      </c>
      <c r="Y238">
        <v>30.868055555555589</v>
      </c>
    </row>
    <row r="239" spans="1:25" x14ac:dyDescent="0.25">
      <c r="A239">
        <v>1</v>
      </c>
      <c r="B239" s="1">
        <v>1001</v>
      </c>
      <c r="C239" s="2" t="s">
        <v>25</v>
      </c>
      <c r="D239" s="2">
        <v>21241.53</v>
      </c>
      <c r="E239" s="2">
        <v>14392.405555555568</v>
      </c>
      <c r="F239" s="1">
        <v>36</v>
      </c>
      <c r="G239" s="1">
        <v>16</v>
      </c>
      <c r="H239" s="2" t="s">
        <v>26</v>
      </c>
      <c r="J239" s="2" t="s">
        <v>26</v>
      </c>
      <c r="K239" s="2" t="s">
        <v>26</v>
      </c>
      <c r="L239" s="2" t="s">
        <v>26</v>
      </c>
      <c r="M239" s="1">
        <v>2895</v>
      </c>
      <c r="N239" t="s">
        <v>35</v>
      </c>
      <c r="O239" s="5">
        <f>EDATE(O238,1)</f>
        <v>41183</v>
      </c>
      <c r="P239">
        <v>16</v>
      </c>
      <c r="Q239">
        <v>17</v>
      </c>
      <c r="R239" s="2">
        <v>307.17592592592598</v>
      </c>
      <c r="T239" s="2">
        <v>307.17592592592598</v>
      </c>
      <c r="U239" t="s">
        <v>29</v>
      </c>
      <c r="V239" t="s">
        <v>29</v>
      </c>
      <c r="W239">
        <v>5555.555555555562</v>
      </c>
      <c r="X239">
        <v>277.77777777777777</v>
      </c>
      <c r="Y239">
        <v>29.398148148148181</v>
      </c>
    </row>
    <row r="240" spans="1:25" x14ac:dyDescent="0.25">
      <c r="A240">
        <v>1</v>
      </c>
      <c r="B240" s="1">
        <v>1001</v>
      </c>
      <c r="C240" s="2" t="s">
        <v>25</v>
      </c>
      <c r="D240" s="2">
        <v>21241.53</v>
      </c>
      <c r="E240" s="2">
        <v>13964.335277777791</v>
      </c>
      <c r="F240" s="1">
        <v>36</v>
      </c>
      <c r="G240" s="1">
        <v>17</v>
      </c>
      <c r="H240" s="2" t="s">
        <v>26</v>
      </c>
      <c r="J240" s="2" t="s">
        <v>26</v>
      </c>
      <c r="K240" s="2" t="s">
        <v>26</v>
      </c>
      <c r="L240" s="2" t="s">
        <v>26</v>
      </c>
      <c r="M240" s="1">
        <v>2895</v>
      </c>
      <c r="N240" t="s">
        <v>35</v>
      </c>
      <c r="O240" s="5">
        <f>EDATE(O239,1)</f>
        <v>41214</v>
      </c>
      <c r="P240">
        <v>17</v>
      </c>
      <c r="Q240">
        <v>18</v>
      </c>
      <c r="R240" s="2">
        <v>305.70601851851853</v>
      </c>
      <c r="T240" s="2">
        <v>305.70601851851853</v>
      </c>
      <c r="U240" t="s">
        <v>29</v>
      </c>
      <c r="V240" t="s">
        <v>29</v>
      </c>
      <c r="W240">
        <v>5277.7777777777846</v>
      </c>
      <c r="X240">
        <v>277.77777777777777</v>
      </c>
      <c r="Y240">
        <v>27.928240740740776</v>
      </c>
    </row>
    <row r="241" spans="1:25" x14ac:dyDescent="0.25">
      <c r="A241">
        <v>1</v>
      </c>
      <c r="B241" s="1">
        <v>1001</v>
      </c>
      <c r="C241" s="2" t="s">
        <v>25</v>
      </c>
      <c r="D241" s="2">
        <v>21241.53</v>
      </c>
      <c r="E241" s="2">
        <v>13536.265000000014</v>
      </c>
      <c r="F241" s="1">
        <v>36</v>
      </c>
      <c r="G241" s="1">
        <v>18</v>
      </c>
      <c r="H241" s="2" t="s">
        <v>26</v>
      </c>
      <c r="J241" s="2" t="s">
        <v>26</v>
      </c>
      <c r="K241" s="2" t="s">
        <v>26</v>
      </c>
      <c r="L241" s="2" t="s">
        <v>26</v>
      </c>
      <c r="M241" s="1">
        <v>2895</v>
      </c>
      <c r="N241" t="s">
        <v>35</v>
      </c>
      <c r="O241" s="5">
        <f>EDATE(O240,1)</f>
        <v>41244</v>
      </c>
      <c r="P241">
        <v>18</v>
      </c>
      <c r="Q241">
        <v>19</v>
      </c>
      <c r="R241" s="2">
        <v>304.23611111111114</v>
      </c>
      <c r="T241" s="2">
        <v>304.23611111111114</v>
      </c>
      <c r="U241" t="s">
        <v>29</v>
      </c>
      <c r="V241" t="s">
        <v>29</v>
      </c>
      <c r="W241">
        <v>5000.0000000000073</v>
      </c>
      <c r="X241">
        <v>277.77777777777777</v>
      </c>
      <c r="Y241">
        <v>26.458333333333371</v>
      </c>
    </row>
    <row r="242" spans="1:25" x14ac:dyDescent="0.25">
      <c r="A242">
        <v>1</v>
      </c>
      <c r="B242" s="1">
        <v>1001</v>
      </c>
      <c r="C242" s="2" t="s">
        <v>25</v>
      </c>
      <c r="D242" s="2">
        <v>21241.53</v>
      </c>
      <c r="E242" s="2">
        <v>13108.194722222237</v>
      </c>
      <c r="F242" s="1">
        <v>36</v>
      </c>
      <c r="G242" s="1">
        <v>19</v>
      </c>
      <c r="H242" s="2" t="s">
        <v>26</v>
      </c>
      <c r="J242" s="2" t="s">
        <v>26</v>
      </c>
      <c r="K242" s="2" t="s">
        <v>26</v>
      </c>
      <c r="L242" s="2" t="s">
        <v>26</v>
      </c>
      <c r="M242" s="1">
        <v>2895</v>
      </c>
      <c r="N242" t="s">
        <v>35</v>
      </c>
      <c r="O242" s="5">
        <f>EDATE(O241,1)</f>
        <v>41275</v>
      </c>
      <c r="P242">
        <v>19</v>
      </c>
      <c r="Q242">
        <v>20</v>
      </c>
      <c r="R242" s="2">
        <v>302.76620370370375</v>
      </c>
      <c r="T242" s="2">
        <v>302.76620370370375</v>
      </c>
      <c r="U242" t="s">
        <v>29</v>
      </c>
      <c r="V242" t="s">
        <v>29</v>
      </c>
      <c r="W242">
        <v>4722.2222222222299</v>
      </c>
      <c r="X242">
        <v>277.77777777777777</v>
      </c>
      <c r="Y242">
        <v>24.988425925925966</v>
      </c>
    </row>
    <row r="243" spans="1:25" x14ac:dyDescent="0.25">
      <c r="A243">
        <v>1</v>
      </c>
      <c r="B243" s="1">
        <v>1001</v>
      </c>
      <c r="C243" s="2" t="s">
        <v>25</v>
      </c>
      <c r="D243" s="2">
        <v>21241.53</v>
      </c>
      <c r="E243" s="2">
        <v>12680.12444444446</v>
      </c>
      <c r="F243" s="1">
        <v>36</v>
      </c>
      <c r="G243" s="1">
        <v>20</v>
      </c>
      <c r="H243" s="2" t="s">
        <v>26</v>
      </c>
      <c r="J243" s="2" t="s">
        <v>26</v>
      </c>
      <c r="K243" s="2" t="s">
        <v>26</v>
      </c>
      <c r="L243" s="2" t="s">
        <v>26</v>
      </c>
      <c r="M243" s="1">
        <v>2895</v>
      </c>
      <c r="N243" t="s">
        <v>35</v>
      </c>
      <c r="O243" s="5">
        <f>EDATE(O242,1)</f>
        <v>41306</v>
      </c>
      <c r="P243">
        <v>20</v>
      </c>
      <c r="Q243">
        <v>21</v>
      </c>
      <c r="R243" s="2">
        <v>301.2962962962963</v>
      </c>
      <c r="T243" s="2">
        <v>301.2962962962963</v>
      </c>
      <c r="U243" t="s">
        <v>29</v>
      </c>
      <c r="V243" t="s">
        <v>29</v>
      </c>
      <c r="W243">
        <v>4444.4444444444525</v>
      </c>
      <c r="X243">
        <v>277.77777777777777</v>
      </c>
      <c r="Y243">
        <v>23.518518518518562</v>
      </c>
    </row>
    <row r="244" spans="1:25" x14ac:dyDescent="0.25">
      <c r="A244">
        <v>1</v>
      </c>
      <c r="B244" s="1">
        <v>1001</v>
      </c>
      <c r="C244" s="2" t="s">
        <v>25</v>
      </c>
      <c r="D244" s="2">
        <v>21241.53</v>
      </c>
      <c r="E244" s="2">
        <v>12252.054166666683</v>
      </c>
      <c r="F244" s="1">
        <v>36</v>
      </c>
      <c r="G244" s="1">
        <v>21</v>
      </c>
      <c r="H244" s="2" t="s">
        <v>26</v>
      </c>
      <c r="J244" s="2" t="s">
        <v>26</v>
      </c>
      <c r="K244" s="2" t="s">
        <v>26</v>
      </c>
      <c r="L244" s="2" t="s">
        <v>26</v>
      </c>
      <c r="M244" s="1">
        <v>2895</v>
      </c>
      <c r="N244" t="s">
        <v>35</v>
      </c>
      <c r="O244" s="5">
        <f>EDATE(O243,1)</f>
        <v>41334</v>
      </c>
      <c r="P244">
        <v>21</v>
      </c>
      <c r="Q244">
        <v>22</v>
      </c>
      <c r="R244" s="2">
        <v>299.82638888888891</v>
      </c>
      <c r="T244" s="2">
        <v>299.82638888888891</v>
      </c>
      <c r="U244" t="s">
        <v>29</v>
      </c>
      <c r="V244" t="s">
        <v>29</v>
      </c>
      <c r="W244">
        <v>4166.6666666666752</v>
      </c>
      <c r="X244">
        <v>277.77777777777777</v>
      </c>
      <c r="Y244">
        <v>22.048611111111157</v>
      </c>
    </row>
    <row r="245" spans="1:25" x14ac:dyDescent="0.25">
      <c r="A245">
        <v>1</v>
      </c>
      <c r="B245" s="1">
        <v>1001</v>
      </c>
      <c r="C245" s="2" t="s">
        <v>25</v>
      </c>
      <c r="D245" s="2">
        <v>21241.53</v>
      </c>
      <c r="E245" s="2">
        <v>11823.983888888906</v>
      </c>
      <c r="F245" s="1">
        <v>36</v>
      </c>
      <c r="G245" s="1">
        <v>22</v>
      </c>
      <c r="H245" s="2" t="s">
        <v>26</v>
      </c>
      <c r="J245" s="2" t="s">
        <v>26</v>
      </c>
      <c r="K245" s="2" t="s">
        <v>26</v>
      </c>
      <c r="L245" s="2" t="s">
        <v>26</v>
      </c>
      <c r="M245" s="1">
        <v>2895</v>
      </c>
      <c r="N245" t="s">
        <v>35</v>
      </c>
      <c r="O245" s="5">
        <f>EDATE(O244,1)</f>
        <v>41365</v>
      </c>
      <c r="P245">
        <v>22</v>
      </c>
      <c r="Q245">
        <v>23</v>
      </c>
      <c r="R245" s="2">
        <v>298.35648148148152</v>
      </c>
      <c r="T245" s="2">
        <v>298.35648148148152</v>
      </c>
      <c r="U245" t="s">
        <v>29</v>
      </c>
      <c r="V245" t="s">
        <v>29</v>
      </c>
      <c r="W245">
        <v>3888.8888888888973</v>
      </c>
      <c r="X245">
        <v>277.77777777777777</v>
      </c>
      <c r="Y245">
        <v>20.578703703703749</v>
      </c>
    </row>
    <row r="246" spans="1:25" x14ac:dyDescent="0.25">
      <c r="A246">
        <v>1</v>
      </c>
      <c r="B246" s="1">
        <v>1001</v>
      </c>
      <c r="C246" s="2" t="s">
        <v>25</v>
      </c>
      <c r="D246" s="2">
        <v>21241.53</v>
      </c>
      <c r="E246" s="2">
        <v>11395.913611111129</v>
      </c>
      <c r="F246" s="1">
        <v>36</v>
      </c>
      <c r="G246" s="1">
        <v>23</v>
      </c>
      <c r="H246" s="2" t="s">
        <v>26</v>
      </c>
      <c r="J246" s="2" t="s">
        <v>26</v>
      </c>
      <c r="K246" s="2" t="s">
        <v>26</v>
      </c>
      <c r="L246" s="2" t="s">
        <v>26</v>
      </c>
      <c r="M246" s="1">
        <v>2895</v>
      </c>
      <c r="N246" t="s">
        <v>35</v>
      </c>
      <c r="O246" s="5">
        <f>EDATE(O245,1)</f>
        <v>41395</v>
      </c>
      <c r="P246">
        <v>23</v>
      </c>
      <c r="Q246">
        <v>24</v>
      </c>
      <c r="R246" s="2">
        <v>296.88657407407413</v>
      </c>
      <c r="T246" s="2">
        <v>296.88657407407413</v>
      </c>
      <c r="U246" t="s">
        <v>29</v>
      </c>
      <c r="V246" t="s">
        <v>29</v>
      </c>
      <c r="W246">
        <v>3611.1111111111195</v>
      </c>
      <c r="X246">
        <v>277.77777777777777</v>
      </c>
      <c r="Y246">
        <v>19.10879629629634</v>
      </c>
    </row>
    <row r="247" spans="1:25" x14ac:dyDescent="0.25">
      <c r="A247">
        <v>1</v>
      </c>
      <c r="B247" s="1">
        <v>1001</v>
      </c>
      <c r="C247" s="2" t="s">
        <v>25</v>
      </c>
      <c r="D247" s="2">
        <v>21241.53</v>
      </c>
      <c r="E247" s="2">
        <v>10967.843333333352</v>
      </c>
      <c r="F247" s="1">
        <v>36</v>
      </c>
      <c r="G247" s="1">
        <v>24</v>
      </c>
      <c r="H247" s="2" t="s">
        <v>26</v>
      </c>
      <c r="J247" s="2" t="s">
        <v>26</v>
      </c>
      <c r="K247" s="2" t="s">
        <v>26</v>
      </c>
      <c r="L247" s="2" t="s">
        <v>26</v>
      </c>
      <c r="M247" s="1">
        <v>2895</v>
      </c>
      <c r="N247" t="s">
        <v>35</v>
      </c>
      <c r="O247" s="5">
        <f>EDATE(O246,1)</f>
        <v>41426</v>
      </c>
      <c r="P247">
        <v>24</v>
      </c>
      <c r="Q247">
        <v>25</v>
      </c>
      <c r="R247" s="2">
        <v>295.41666666666669</v>
      </c>
      <c r="T247" s="2">
        <v>295.41666666666669</v>
      </c>
      <c r="U247" t="s">
        <v>29</v>
      </c>
      <c r="V247" t="s">
        <v>29</v>
      </c>
      <c r="W247">
        <v>3333.3333333333417</v>
      </c>
      <c r="X247">
        <v>277.77777777777777</v>
      </c>
      <c r="Y247">
        <v>17.638888888888932</v>
      </c>
    </row>
    <row r="248" spans="1:25" x14ac:dyDescent="0.25">
      <c r="A248">
        <v>1</v>
      </c>
      <c r="B248" s="1">
        <v>1001</v>
      </c>
      <c r="C248" s="2" t="s">
        <v>25</v>
      </c>
      <c r="D248" s="2">
        <v>21241.53</v>
      </c>
      <c r="E248" s="2">
        <v>10539.773055555575</v>
      </c>
      <c r="F248" s="1">
        <v>36</v>
      </c>
      <c r="G248" s="1">
        <v>25</v>
      </c>
      <c r="H248" s="2" t="s">
        <v>26</v>
      </c>
      <c r="J248" s="2" t="s">
        <v>26</v>
      </c>
      <c r="K248" s="2" t="s">
        <v>26</v>
      </c>
      <c r="L248" s="2" t="s">
        <v>26</v>
      </c>
      <c r="M248" s="1">
        <v>2895</v>
      </c>
      <c r="N248" t="s">
        <v>35</v>
      </c>
      <c r="O248" s="5">
        <f>EDATE(O247,1)</f>
        <v>41456</v>
      </c>
      <c r="P248">
        <v>25</v>
      </c>
      <c r="Q248">
        <v>26</v>
      </c>
      <c r="R248" s="2">
        <v>293.9467592592593</v>
      </c>
      <c r="T248" s="2">
        <v>293.9467592592593</v>
      </c>
      <c r="U248" t="s">
        <v>29</v>
      </c>
      <c r="V248" t="s">
        <v>29</v>
      </c>
      <c r="W248">
        <v>3055.5555555555638</v>
      </c>
      <c r="X248">
        <v>277.77777777777777</v>
      </c>
      <c r="Y248">
        <v>16.168981481481527</v>
      </c>
    </row>
    <row r="249" spans="1:25" x14ac:dyDescent="0.25">
      <c r="A249">
        <v>1</v>
      </c>
      <c r="B249" s="1">
        <v>1001</v>
      </c>
      <c r="C249" s="2" t="s">
        <v>25</v>
      </c>
      <c r="D249" s="2">
        <v>21241.53</v>
      </c>
      <c r="E249" s="2">
        <v>10111.702777777798</v>
      </c>
      <c r="F249" s="1">
        <v>36</v>
      </c>
      <c r="G249" s="1">
        <v>26</v>
      </c>
      <c r="H249" s="2" t="s">
        <v>26</v>
      </c>
      <c r="J249" s="2" t="s">
        <v>26</v>
      </c>
      <c r="K249" s="2" t="s">
        <v>26</v>
      </c>
      <c r="L249" s="2" t="s">
        <v>26</v>
      </c>
      <c r="M249" s="1">
        <v>2895</v>
      </c>
      <c r="N249" t="s">
        <v>35</v>
      </c>
      <c r="O249" s="5">
        <f>EDATE(O248,1)</f>
        <v>41487</v>
      </c>
      <c r="P249">
        <v>26</v>
      </c>
      <c r="Q249">
        <v>27</v>
      </c>
      <c r="R249" s="2">
        <v>292.4768518518519</v>
      </c>
      <c r="T249" s="2">
        <v>292.4768518518519</v>
      </c>
      <c r="U249" t="s">
        <v>29</v>
      </c>
      <c r="V249" t="s">
        <v>29</v>
      </c>
      <c r="W249">
        <v>2777.777777777786</v>
      </c>
      <c r="X249">
        <v>277.77777777777777</v>
      </c>
      <c r="Y249">
        <v>14.699074074074119</v>
      </c>
    </row>
    <row r="250" spans="1:25" x14ac:dyDescent="0.25">
      <c r="A250">
        <v>1</v>
      </c>
      <c r="B250" s="1">
        <v>1001</v>
      </c>
      <c r="C250" s="2" t="s">
        <v>25</v>
      </c>
      <c r="D250" s="2">
        <v>21241.53</v>
      </c>
      <c r="E250" s="2">
        <v>9683.6325000000215</v>
      </c>
      <c r="F250" s="1">
        <v>36</v>
      </c>
      <c r="G250" s="1">
        <v>27</v>
      </c>
      <c r="H250" s="2" t="s">
        <v>26</v>
      </c>
      <c r="J250" s="2" t="s">
        <v>26</v>
      </c>
      <c r="K250" s="2" t="s">
        <v>26</v>
      </c>
      <c r="L250" s="2" t="s">
        <v>26</v>
      </c>
      <c r="M250" s="1">
        <v>2895</v>
      </c>
      <c r="N250" t="s">
        <v>35</v>
      </c>
      <c r="O250" s="5">
        <f>EDATE(O249,1)</f>
        <v>41518</v>
      </c>
      <c r="P250">
        <v>27</v>
      </c>
      <c r="Q250">
        <v>28</v>
      </c>
      <c r="R250" s="2">
        <v>291.00694444444446</v>
      </c>
      <c r="T250" s="2">
        <v>291.00694444444446</v>
      </c>
      <c r="U250" t="s">
        <v>29</v>
      </c>
      <c r="V250" t="s">
        <v>29</v>
      </c>
      <c r="W250">
        <v>2500.0000000000082</v>
      </c>
      <c r="X250">
        <v>277.77777777777777</v>
      </c>
      <c r="Y250">
        <v>13.229166666666709</v>
      </c>
    </row>
    <row r="251" spans="1:25" x14ac:dyDescent="0.25">
      <c r="A251">
        <v>1</v>
      </c>
      <c r="B251" s="1">
        <v>1001</v>
      </c>
      <c r="C251" s="2" t="s">
        <v>25</v>
      </c>
      <c r="D251" s="2">
        <v>21241.53</v>
      </c>
      <c r="E251" s="2">
        <v>9255.5622222222446</v>
      </c>
      <c r="F251" s="1">
        <v>36</v>
      </c>
      <c r="G251" s="1">
        <v>28</v>
      </c>
      <c r="H251" s="2" t="s">
        <v>26</v>
      </c>
      <c r="J251" s="2" t="s">
        <v>26</v>
      </c>
      <c r="K251" s="2" t="s">
        <v>26</v>
      </c>
      <c r="L251" s="2" t="s">
        <v>26</v>
      </c>
      <c r="M251" s="1">
        <v>2895</v>
      </c>
      <c r="N251" t="s">
        <v>35</v>
      </c>
      <c r="O251" s="5">
        <f>EDATE(O250,1)</f>
        <v>41548</v>
      </c>
      <c r="P251">
        <v>28</v>
      </c>
      <c r="Q251">
        <v>29</v>
      </c>
      <c r="R251" s="2">
        <v>289.53703703703707</v>
      </c>
      <c r="T251" s="2">
        <v>289.53703703703707</v>
      </c>
      <c r="U251" t="s">
        <v>29</v>
      </c>
      <c r="V251" t="s">
        <v>29</v>
      </c>
      <c r="W251">
        <v>2222.2222222222304</v>
      </c>
      <c r="X251">
        <v>277.77777777777777</v>
      </c>
      <c r="Y251">
        <v>11.759259259259302</v>
      </c>
    </row>
    <row r="252" spans="1:25" x14ac:dyDescent="0.25">
      <c r="A252">
        <v>1</v>
      </c>
      <c r="B252" s="1">
        <v>1001</v>
      </c>
      <c r="C252" s="2" t="s">
        <v>25</v>
      </c>
      <c r="D252" s="2">
        <v>21241.53</v>
      </c>
      <c r="E252" s="2">
        <v>8827.4919444444677</v>
      </c>
      <c r="F252" s="1">
        <v>36</v>
      </c>
      <c r="G252" s="1">
        <v>29</v>
      </c>
      <c r="H252" s="2" t="s">
        <v>26</v>
      </c>
      <c r="J252" s="2" t="s">
        <v>26</v>
      </c>
      <c r="K252" s="2" t="s">
        <v>26</v>
      </c>
      <c r="L252" s="2" t="s">
        <v>26</v>
      </c>
      <c r="M252" s="1">
        <v>2895</v>
      </c>
      <c r="N252" t="s">
        <v>35</v>
      </c>
      <c r="O252" s="5">
        <f>EDATE(O251,1)</f>
        <v>41579</v>
      </c>
      <c r="P252">
        <v>29</v>
      </c>
      <c r="Q252">
        <v>30</v>
      </c>
      <c r="R252" s="2">
        <v>288.06712962962968</v>
      </c>
      <c r="T252" s="2">
        <v>288.06712962962968</v>
      </c>
      <c r="U252" t="s">
        <v>29</v>
      </c>
      <c r="V252" t="s">
        <v>29</v>
      </c>
      <c r="W252">
        <v>1944.4444444444525</v>
      </c>
      <c r="X252">
        <v>277.77777777777777</v>
      </c>
      <c r="Y252">
        <v>10.289351851851896</v>
      </c>
    </row>
    <row r="253" spans="1:25" x14ac:dyDescent="0.25">
      <c r="A253">
        <v>1</v>
      </c>
      <c r="B253" s="1">
        <v>1001</v>
      </c>
      <c r="C253" s="2" t="s">
        <v>25</v>
      </c>
      <c r="D253" s="2">
        <v>21241.53</v>
      </c>
      <c r="E253" s="2">
        <v>8399.4216666666907</v>
      </c>
      <c r="F253" s="1">
        <v>36</v>
      </c>
      <c r="G253" s="1">
        <v>30</v>
      </c>
      <c r="H253" s="2" t="s">
        <v>26</v>
      </c>
      <c r="J253" s="2" t="s">
        <v>26</v>
      </c>
      <c r="K253" s="2" t="s">
        <v>26</v>
      </c>
      <c r="L253" s="2" t="s">
        <v>26</v>
      </c>
      <c r="M253" s="1">
        <v>2895</v>
      </c>
      <c r="N253" t="s">
        <v>35</v>
      </c>
      <c r="O253" s="5">
        <f>EDATE(O252,1)</f>
        <v>41609</v>
      </c>
      <c r="P253">
        <v>30</v>
      </c>
      <c r="Q253">
        <v>31</v>
      </c>
      <c r="R253" s="2">
        <v>286.59722222222229</v>
      </c>
      <c r="T253" s="2">
        <v>286.59722222222229</v>
      </c>
      <c r="U253" t="s">
        <v>29</v>
      </c>
      <c r="V253" t="s">
        <v>29</v>
      </c>
      <c r="W253">
        <v>1666.6666666666747</v>
      </c>
      <c r="X253">
        <v>277.77777777777777</v>
      </c>
      <c r="Y253">
        <v>8.8194444444444873</v>
      </c>
    </row>
    <row r="254" spans="1:25" x14ac:dyDescent="0.25">
      <c r="A254">
        <v>1</v>
      </c>
      <c r="B254" s="1">
        <v>1001</v>
      </c>
      <c r="C254" s="2" t="s">
        <v>25</v>
      </c>
      <c r="D254" s="2">
        <v>21241.53</v>
      </c>
      <c r="E254" s="2">
        <v>7971.3513888889129</v>
      </c>
      <c r="F254" s="1">
        <v>36</v>
      </c>
      <c r="G254" s="1">
        <v>31</v>
      </c>
      <c r="H254" s="2" t="s">
        <v>26</v>
      </c>
      <c r="J254" s="2" t="s">
        <v>26</v>
      </c>
      <c r="K254" s="2" t="s">
        <v>26</v>
      </c>
      <c r="L254" s="2" t="s">
        <v>26</v>
      </c>
      <c r="M254" s="1">
        <v>2895</v>
      </c>
      <c r="N254" t="s">
        <v>35</v>
      </c>
      <c r="O254" s="5">
        <f>EDATE(O253,1)</f>
        <v>41640</v>
      </c>
      <c r="P254">
        <v>31</v>
      </c>
      <c r="Q254">
        <v>32</v>
      </c>
      <c r="R254" s="2">
        <v>285.12731481481484</v>
      </c>
      <c r="T254" s="2">
        <v>285.12731481481484</v>
      </c>
      <c r="U254" t="s">
        <v>29</v>
      </c>
      <c r="V254" t="s">
        <v>29</v>
      </c>
      <c r="W254">
        <v>1388.8888888888969</v>
      </c>
      <c r="X254">
        <v>277.77777777777777</v>
      </c>
      <c r="Y254">
        <v>7.3495370370370798</v>
      </c>
    </row>
    <row r="255" spans="1:25" x14ac:dyDescent="0.25">
      <c r="A255">
        <v>1</v>
      </c>
      <c r="B255" s="1">
        <v>1001</v>
      </c>
      <c r="C255" s="2" t="s">
        <v>25</v>
      </c>
      <c r="D255" s="2">
        <v>21241.53</v>
      </c>
      <c r="E255" s="2">
        <v>7543.281111111135</v>
      </c>
      <c r="F255" s="1">
        <v>36</v>
      </c>
      <c r="G255" s="1">
        <v>32</v>
      </c>
      <c r="H255" s="2" t="s">
        <v>26</v>
      </c>
      <c r="J255" s="2" t="s">
        <v>26</v>
      </c>
      <c r="K255" s="2" t="s">
        <v>26</v>
      </c>
      <c r="L255" s="2" t="s">
        <v>26</v>
      </c>
      <c r="M255" s="1">
        <v>2895</v>
      </c>
      <c r="N255" t="s">
        <v>35</v>
      </c>
      <c r="O255" s="5">
        <f>EDATE(O254,1)</f>
        <v>41671</v>
      </c>
      <c r="P255">
        <v>32</v>
      </c>
      <c r="Q255">
        <v>33</v>
      </c>
      <c r="R255" s="2">
        <v>283.65740740740745</v>
      </c>
      <c r="T255" s="2">
        <v>283.65740740740745</v>
      </c>
      <c r="U255" t="s">
        <v>29</v>
      </c>
      <c r="V255" t="s">
        <v>29</v>
      </c>
      <c r="W255">
        <v>1111.111111111119</v>
      </c>
      <c r="X255">
        <v>277.77777777777777</v>
      </c>
      <c r="Y255">
        <v>5.8796296296296715</v>
      </c>
    </row>
    <row r="256" spans="1:25" x14ac:dyDescent="0.25">
      <c r="A256">
        <v>1</v>
      </c>
      <c r="B256" s="1">
        <v>1001</v>
      </c>
      <c r="C256" s="2" t="s">
        <v>25</v>
      </c>
      <c r="D256" s="2">
        <v>21241.53</v>
      </c>
      <c r="E256" s="2">
        <v>7115.2108333333572</v>
      </c>
      <c r="F256" s="1">
        <v>36</v>
      </c>
      <c r="G256" s="1">
        <v>33</v>
      </c>
      <c r="H256" s="2" t="s">
        <v>26</v>
      </c>
      <c r="J256" s="2" t="s">
        <v>26</v>
      </c>
      <c r="K256" s="2" t="s">
        <v>26</v>
      </c>
      <c r="L256" s="2" t="s">
        <v>26</v>
      </c>
      <c r="M256" s="1">
        <v>2895</v>
      </c>
      <c r="N256" t="s">
        <v>35</v>
      </c>
      <c r="O256" s="5">
        <f>EDATE(O255,1)</f>
        <v>41699</v>
      </c>
      <c r="P256">
        <v>33</v>
      </c>
      <c r="Q256">
        <v>34</v>
      </c>
      <c r="R256" s="2">
        <v>282.18750000000006</v>
      </c>
      <c r="T256" s="2">
        <v>282.18750000000006</v>
      </c>
      <c r="U256" t="s">
        <v>29</v>
      </c>
      <c r="V256" t="s">
        <v>29</v>
      </c>
      <c r="W256">
        <v>833.33333333334122</v>
      </c>
      <c r="X256">
        <v>277.77777777777777</v>
      </c>
      <c r="Y256">
        <v>4.4097222222222641</v>
      </c>
    </row>
    <row r="257" spans="1:25" x14ac:dyDescent="0.25">
      <c r="A257">
        <v>1</v>
      </c>
      <c r="B257" s="1">
        <v>1001</v>
      </c>
      <c r="C257" s="2" t="s">
        <v>25</v>
      </c>
      <c r="D257" s="2">
        <v>21241.53</v>
      </c>
      <c r="E257" s="2">
        <v>6687.1405555555793</v>
      </c>
      <c r="F257" s="1">
        <v>36</v>
      </c>
      <c r="G257" s="1">
        <v>34</v>
      </c>
      <c r="H257" s="2" t="s">
        <v>26</v>
      </c>
      <c r="J257" s="2" t="s">
        <v>26</v>
      </c>
      <c r="K257" s="2" t="s">
        <v>26</v>
      </c>
      <c r="L257" s="2" t="s">
        <v>26</v>
      </c>
      <c r="M257" s="1">
        <v>2895</v>
      </c>
      <c r="N257" t="s">
        <v>35</v>
      </c>
      <c r="O257" s="5">
        <f>EDATE(O256,1)</f>
        <v>41730</v>
      </c>
      <c r="P257">
        <v>34</v>
      </c>
      <c r="Q257">
        <v>35</v>
      </c>
      <c r="R257" s="2">
        <v>280.71759259259261</v>
      </c>
      <c r="T257" s="2">
        <v>280.71759259259261</v>
      </c>
      <c r="U257" t="s">
        <v>29</v>
      </c>
      <c r="V257" t="s">
        <v>29</v>
      </c>
      <c r="W257">
        <v>555.55555555556339</v>
      </c>
      <c r="X257">
        <v>277.77777777777777</v>
      </c>
      <c r="Y257">
        <v>2.9398148148148562</v>
      </c>
    </row>
    <row r="258" spans="1:25" x14ac:dyDescent="0.25">
      <c r="A258">
        <v>1</v>
      </c>
      <c r="B258" s="1">
        <v>1001</v>
      </c>
      <c r="C258" s="2" t="s">
        <v>25</v>
      </c>
      <c r="D258" s="2">
        <v>21241.53</v>
      </c>
      <c r="E258" s="2">
        <v>6259.0702777778015</v>
      </c>
      <c r="F258" s="1">
        <v>36</v>
      </c>
      <c r="G258" s="1">
        <v>35</v>
      </c>
      <c r="H258" s="2" t="s">
        <v>26</v>
      </c>
      <c r="J258" s="2" t="s">
        <v>26</v>
      </c>
      <c r="K258" s="2" t="s">
        <v>26</v>
      </c>
      <c r="L258" s="2" t="s">
        <v>26</v>
      </c>
      <c r="M258" s="1">
        <v>2895</v>
      </c>
      <c r="N258" t="s">
        <v>35</v>
      </c>
      <c r="O258" s="5">
        <f>EDATE(O257,1)</f>
        <v>41760</v>
      </c>
      <c r="P258">
        <v>35</v>
      </c>
      <c r="Q258">
        <v>36</v>
      </c>
      <c r="R258" s="2">
        <v>279.24768518518522</v>
      </c>
      <c r="T258" s="2">
        <v>279.24768518518522</v>
      </c>
      <c r="U258" t="s">
        <v>29</v>
      </c>
      <c r="V258" t="s">
        <v>29</v>
      </c>
      <c r="W258">
        <v>277.77777777778562</v>
      </c>
      <c r="X258">
        <v>277.77777777777777</v>
      </c>
      <c r="Y258">
        <v>1.469907407407449</v>
      </c>
    </row>
    <row r="259" spans="1:25" x14ac:dyDescent="0.25">
      <c r="A259">
        <v>1</v>
      </c>
      <c r="B259" s="1">
        <v>1001</v>
      </c>
      <c r="C259" s="2" t="s">
        <v>25</v>
      </c>
      <c r="D259" s="2">
        <v>21241.53</v>
      </c>
      <c r="E259" s="2">
        <v>5831.0000000000236</v>
      </c>
      <c r="F259" s="1">
        <v>36</v>
      </c>
      <c r="G259" s="1">
        <v>36</v>
      </c>
      <c r="H259" s="2" t="s">
        <v>26</v>
      </c>
      <c r="J259" s="2" t="s">
        <v>26</v>
      </c>
      <c r="K259" s="2" t="s">
        <v>26</v>
      </c>
      <c r="L259" s="2" t="s">
        <v>26</v>
      </c>
      <c r="M259" s="1">
        <v>2895</v>
      </c>
      <c r="N259" t="s">
        <v>35</v>
      </c>
      <c r="O259" s="5">
        <f>EDATE(O258,1)</f>
        <v>41791</v>
      </c>
      <c r="P259">
        <v>36</v>
      </c>
      <c r="Q259">
        <v>37</v>
      </c>
      <c r="R259" s="2">
        <v>277.77777777777783</v>
      </c>
      <c r="T259" s="2">
        <v>277.77777777777783</v>
      </c>
      <c r="U259" t="s">
        <v>29</v>
      </c>
      <c r="V259" t="s">
        <v>29</v>
      </c>
      <c r="W259">
        <v>7.8443918027915061E-12</v>
      </c>
      <c r="X259">
        <v>277.77777777777777</v>
      </c>
      <c r="Y259">
        <v>4.150990662310505E-14</v>
      </c>
    </row>
    <row r="260" spans="1:25" x14ac:dyDescent="0.25">
      <c r="A260">
        <v>1</v>
      </c>
      <c r="B260" s="1">
        <v>1001</v>
      </c>
      <c r="C260" s="2" t="s">
        <v>25</v>
      </c>
      <c r="D260" s="2">
        <v>21241.53</v>
      </c>
      <c r="E260" s="2">
        <v>5402.9297222222458</v>
      </c>
      <c r="F260" s="1">
        <v>36</v>
      </c>
      <c r="G260" s="1">
        <v>37</v>
      </c>
      <c r="H260" s="2" t="s">
        <v>26</v>
      </c>
      <c r="J260" s="2" t="s">
        <v>26</v>
      </c>
      <c r="K260" s="2">
        <v>10000</v>
      </c>
      <c r="L260" s="2" t="s">
        <v>26</v>
      </c>
      <c r="M260" s="1">
        <v>2895</v>
      </c>
      <c r="N260" t="s">
        <v>35</v>
      </c>
      <c r="O260" s="5">
        <f>EDATE(O259,1)</f>
        <v>41821</v>
      </c>
      <c r="P260">
        <v>37</v>
      </c>
      <c r="Q260">
        <v>999</v>
      </c>
      <c r="R260" s="2">
        <v>0</v>
      </c>
      <c r="T260" s="2">
        <v>0</v>
      </c>
      <c r="U260" t="s">
        <v>29</v>
      </c>
      <c r="V260" t="s">
        <v>29</v>
      </c>
      <c r="W260">
        <v>-277.77777777776993</v>
      </c>
      <c r="X260">
        <v>277.77777777777777</v>
      </c>
      <c r="Y260">
        <v>-1.4699074074073659</v>
      </c>
    </row>
    <row r="261" spans="1:25" x14ac:dyDescent="0.25">
      <c r="A261">
        <v>3</v>
      </c>
      <c r="B261" s="1">
        <v>1010</v>
      </c>
      <c r="C261" s="2" t="s">
        <v>36</v>
      </c>
      <c r="D261" s="2">
        <v>100000</v>
      </c>
      <c r="E261" s="2">
        <v>98400</v>
      </c>
      <c r="F261" s="1">
        <v>50</v>
      </c>
      <c r="G261" s="1">
        <v>1</v>
      </c>
      <c r="H261" s="2" t="s">
        <v>26</v>
      </c>
      <c r="J261" s="2" t="s">
        <v>26</v>
      </c>
      <c r="K261" s="2">
        <v>10000</v>
      </c>
      <c r="L261" s="2" t="s">
        <v>26</v>
      </c>
      <c r="M261" s="1">
        <v>2589</v>
      </c>
      <c r="N261" t="s">
        <v>27</v>
      </c>
      <c r="O261" s="5">
        <v>40725</v>
      </c>
      <c r="P261">
        <v>1</v>
      </c>
      <c r="Q261">
        <v>2</v>
      </c>
      <c r="R261" s="2">
        <f>ROUND(IF(1=1,IF(48&gt;0,1.5/(100+1.5)/48,1.5/(100+1.5)/50),1.5/(100+1.5)/50)*100,4)</f>
        <v>3.0800000000000001E-2</v>
      </c>
      <c r="S261">
        <v>50</v>
      </c>
      <c r="T261" s="2">
        <v>3.0800000000000001E-2</v>
      </c>
      <c r="U261" t="s">
        <v>28</v>
      </c>
      <c r="V261" t="s">
        <v>29</v>
      </c>
      <c r="W261">
        <v>0</v>
      </c>
      <c r="X261">
        <v>0</v>
      </c>
      <c r="Y261">
        <v>0</v>
      </c>
    </row>
    <row r="262" spans="1:25" x14ac:dyDescent="0.25">
      <c r="A262">
        <v>3</v>
      </c>
      <c r="B262" s="1">
        <v>1010</v>
      </c>
      <c r="C262" s="2" t="s">
        <v>36</v>
      </c>
      <c r="D262" s="2">
        <v>100000</v>
      </c>
      <c r="E262" s="2">
        <v>96800</v>
      </c>
      <c r="F262" s="1">
        <v>50</v>
      </c>
      <c r="G262" s="1">
        <v>2</v>
      </c>
      <c r="H262" s="2" t="s">
        <v>26</v>
      </c>
      <c r="J262" s="2" t="s">
        <v>26</v>
      </c>
      <c r="K262" s="2">
        <v>10000</v>
      </c>
      <c r="L262" s="2" t="s">
        <v>26</v>
      </c>
      <c r="M262" s="1">
        <v>2589</v>
      </c>
      <c r="N262" t="s">
        <v>27</v>
      </c>
      <c r="O262" s="5">
        <f>EDATE(O261,1)</f>
        <v>40756</v>
      </c>
      <c r="P262">
        <v>2</v>
      </c>
      <c r="Q262">
        <v>3</v>
      </c>
      <c r="R262" s="2">
        <f>ROUND(IF(1=1,IF(48&gt;0,1.5/(100+1.5)/48,1.5/(100+1.5)/50),1.5/(100+1.5)/50)*100,4)</f>
        <v>3.0800000000000001E-2</v>
      </c>
      <c r="S262">
        <v>50</v>
      </c>
      <c r="T262" s="2">
        <v>3.0800000000000001E-2</v>
      </c>
      <c r="U262" t="s">
        <v>28</v>
      </c>
      <c r="V262" t="s">
        <v>29</v>
      </c>
      <c r="W262">
        <v>0</v>
      </c>
      <c r="X262">
        <v>0</v>
      </c>
      <c r="Y262">
        <v>0</v>
      </c>
    </row>
    <row r="263" spans="1:25" x14ac:dyDescent="0.25">
      <c r="A263">
        <v>3</v>
      </c>
      <c r="B263" s="1">
        <v>1010</v>
      </c>
      <c r="C263" s="2" t="s">
        <v>36</v>
      </c>
      <c r="D263" s="2">
        <v>100000</v>
      </c>
      <c r="E263" s="2">
        <v>95200</v>
      </c>
      <c r="F263" s="1">
        <v>50</v>
      </c>
      <c r="G263" s="1">
        <v>3</v>
      </c>
      <c r="H263" s="2" t="s">
        <v>26</v>
      </c>
      <c r="J263" s="2" t="s">
        <v>26</v>
      </c>
      <c r="K263" s="2">
        <v>10000</v>
      </c>
      <c r="L263" s="2" t="s">
        <v>26</v>
      </c>
      <c r="M263" s="1">
        <v>2589</v>
      </c>
      <c r="N263" t="s">
        <v>27</v>
      </c>
      <c r="O263" s="5">
        <f>EDATE(O262,1)</f>
        <v>40787</v>
      </c>
      <c r="P263">
        <v>3</v>
      </c>
      <c r="Q263">
        <v>4</v>
      </c>
      <c r="R263" s="2">
        <f>ROUND(IF(1=1,IF(48&gt;0,1.5/(100+1.5)/48,1.5/(100+1.5)/50),1.5/(100+1.5)/50)*100,4)</f>
        <v>3.0800000000000001E-2</v>
      </c>
      <c r="S263">
        <v>50</v>
      </c>
      <c r="T263" s="2">
        <v>3.0800000000000001E-2</v>
      </c>
      <c r="U263" t="s">
        <v>28</v>
      </c>
      <c r="V263" t="s">
        <v>29</v>
      </c>
      <c r="W263">
        <v>0</v>
      </c>
      <c r="X263">
        <v>0</v>
      </c>
      <c r="Y263">
        <v>0</v>
      </c>
    </row>
    <row r="264" spans="1:25" x14ac:dyDescent="0.25">
      <c r="A264">
        <v>3</v>
      </c>
      <c r="B264" s="1">
        <v>1010</v>
      </c>
      <c r="C264" s="2" t="s">
        <v>36</v>
      </c>
      <c r="D264" s="2">
        <v>100000</v>
      </c>
      <c r="E264" s="2">
        <v>93600</v>
      </c>
      <c r="F264" s="1">
        <v>50</v>
      </c>
      <c r="G264" s="1">
        <v>4</v>
      </c>
      <c r="H264" s="2" t="s">
        <v>26</v>
      </c>
      <c r="J264" s="2" t="s">
        <v>26</v>
      </c>
      <c r="K264" s="2">
        <v>10000</v>
      </c>
      <c r="L264" s="2" t="s">
        <v>26</v>
      </c>
      <c r="M264" s="1">
        <v>2589</v>
      </c>
      <c r="N264" t="s">
        <v>27</v>
      </c>
      <c r="O264" s="5">
        <f>EDATE(O263,1)</f>
        <v>40817</v>
      </c>
      <c r="P264">
        <v>4</v>
      </c>
      <c r="Q264">
        <v>5</v>
      </c>
      <c r="R264" s="2">
        <f>ROUND(IF(1=1,IF(48&gt;0,1.5/(100+1.5)/48,1.5/(100+1.5)/50),1.5/(100+1.5)/50)*100,4)</f>
        <v>3.0800000000000001E-2</v>
      </c>
      <c r="S264">
        <v>50</v>
      </c>
      <c r="T264" s="2">
        <v>3.0800000000000001E-2</v>
      </c>
      <c r="U264" t="s">
        <v>28</v>
      </c>
      <c r="V264" t="s">
        <v>29</v>
      </c>
      <c r="W264">
        <v>0</v>
      </c>
      <c r="X264">
        <v>0</v>
      </c>
      <c r="Y264">
        <v>0</v>
      </c>
    </row>
    <row r="265" spans="1:25" x14ac:dyDescent="0.25">
      <c r="A265">
        <v>3</v>
      </c>
      <c r="B265" s="1">
        <v>1010</v>
      </c>
      <c r="C265" s="2" t="s">
        <v>36</v>
      </c>
      <c r="D265" s="2">
        <v>100000</v>
      </c>
      <c r="E265" s="2">
        <v>92000</v>
      </c>
      <c r="F265" s="1">
        <v>50</v>
      </c>
      <c r="G265" s="1">
        <v>5</v>
      </c>
      <c r="H265" s="2" t="s">
        <v>26</v>
      </c>
      <c r="J265" s="2" t="s">
        <v>26</v>
      </c>
      <c r="K265" s="2">
        <v>10000</v>
      </c>
      <c r="L265" s="2" t="s">
        <v>26</v>
      </c>
      <c r="M265" s="1">
        <v>2589</v>
      </c>
      <c r="N265" t="s">
        <v>27</v>
      </c>
      <c r="O265" s="5">
        <f>EDATE(O264,1)</f>
        <v>40848</v>
      </c>
      <c r="P265">
        <v>5</v>
      </c>
      <c r="Q265">
        <v>6</v>
      </c>
      <c r="R265" s="2">
        <f>ROUND(IF(1=1,IF(48&gt;0,1.5/(100+1.5)/48,1.5/(100+1.5)/50),1.5/(100+1.5)/50)*100,4)</f>
        <v>3.0800000000000001E-2</v>
      </c>
      <c r="S265">
        <v>50</v>
      </c>
      <c r="T265" s="2">
        <v>3.0800000000000001E-2</v>
      </c>
      <c r="U265" t="s">
        <v>28</v>
      </c>
      <c r="V265" t="s">
        <v>29</v>
      </c>
      <c r="W265">
        <v>0</v>
      </c>
      <c r="X265">
        <v>0</v>
      </c>
      <c r="Y265">
        <v>0</v>
      </c>
    </row>
    <row r="266" spans="1:25" x14ac:dyDescent="0.25">
      <c r="A266">
        <v>3</v>
      </c>
      <c r="B266" s="1">
        <v>1010</v>
      </c>
      <c r="C266" s="2" t="s">
        <v>36</v>
      </c>
      <c r="D266" s="2">
        <v>100000</v>
      </c>
      <c r="E266" s="2">
        <v>90400</v>
      </c>
      <c r="F266" s="1">
        <v>50</v>
      </c>
      <c r="G266" s="1">
        <v>6</v>
      </c>
      <c r="H266" s="2" t="s">
        <v>26</v>
      </c>
      <c r="J266" s="2" t="s">
        <v>26</v>
      </c>
      <c r="K266" s="2">
        <v>10000</v>
      </c>
      <c r="L266" s="2" t="s">
        <v>26</v>
      </c>
      <c r="M266" s="1">
        <v>2589</v>
      </c>
      <c r="N266" t="s">
        <v>27</v>
      </c>
      <c r="O266" s="5">
        <f>EDATE(O265,1)</f>
        <v>40878</v>
      </c>
      <c r="P266">
        <v>6</v>
      </c>
      <c r="Q266">
        <v>7</v>
      </c>
      <c r="R266" s="2">
        <f>ROUND(IF(1=1,IF(48&gt;0,1.5/(100+1.5)/48,1.5/(100+1.5)/50),1.5/(100+1.5)/50)*100,4)</f>
        <v>3.0800000000000001E-2</v>
      </c>
      <c r="S266">
        <v>50</v>
      </c>
      <c r="T266" s="2">
        <v>3.0800000000000001E-2</v>
      </c>
      <c r="U266" t="s">
        <v>28</v>
      </c>
      <c r="V266" t="s">
        <v>29</v>
      </c>
      <c r="W266">
        <v>0</v>
      </c>
      <c r="X266">
        <v>0</v>
      </c>
      <c r="Y266">
        <v>0</v>
      </c>
    </row>
    <row r="267" spans="1:25" x14ac:dyDescent="0.25">
      <c r="A267">
        <v>3</v>
      </c>
      <c r="B267" s="1">
        <v>1010</v>
      </c>
      <c r="C267" s="2" t="s">
        <v>36</v>
      </c>
      <c r="D267" s="2">
        <v>100000</v>
      </c>
      <c r="E267" s="2">
        <v>88800</v>
      </c>
      <c r="F267" s="1">
        <v>50</v>
      </c>
      <c r="G267" s="1">
        <v>7</v>
      </c>
      <c r="H267" s="2" t="s">
        <v>26</v>
      </c>
      <c r="J267" s="2" t="s">
        <v>26</v>
      </c>
      <c r="K267" s="2">
        <v>10000</v>
      </c>
      <c r="L267" s="2" t="s">
        <v>26</v>
      </c>
      <c r="M267" s="1">
        <v>2589</v>
      </c>
      <c r="N267" t="s">
        <v>27</v>
      </c>
      <c r="O267" s="5">
        <f>EDATE(O266,1)</f>
        <v>40909</v>
      </c>
      <c r="P267">
        <v>7</v>
      </c>
      <c r="Q267">
        <v>8</v>
      </c>
      <c r="R267" s="2">
        <f>ROUND(IF(1=1,IF(48&gt;0,1.5/(100+1.5)/48,1.5/(100+1.5)/50),1.5/(100+1.5)/50)*100,4)</f>
        <v>3.0800000000000001E-2</v>
      </c>
      <c r="S267">
        <v>50</v>
      </c>
      <c r="T267" s="2">
        <v>3.0800000000000001E-2</v>
      </c>
      <c r="U267" t="s">
        <v>28</v>
      </c>
      <c r="V267" t="s">
        <v>29</v>
      </c>
      <c r="W267">
        <v>0</v>
      </c>
      <c r="X267">
        <v>0</v>
      </c>
      <c r="Y267">
        <v>0</v>
      </c>
    </row>
    <row r="268" spans="1:25" x14ac:dyDescent="0.25">
      <c r="A268">
        <v>3</v>
      </c>
      <c r="B268" s="1">
        <v>1010</v>
      </c>
      <c r="C268" s="2" t="s">
        <v>36</v>
      </c>
      <c r="D268" s="2">
        <v>100000</v>
      </c>
      <c r="E268" s="2">
        <v>87200</v>
      </c>
      <c r="F268" s="1">
        <v>50</v>
      </c>
      <c r="G268" s="1">
        <v>8</v>
      </c>
      <c r="H268" s="2" t="s">
        <v>26</v>
      </c>
      <c r="J268" s="2" t="s">
        <v>26</v>
      </c>
      <c r="K268" s="2">
        <v>10000</v>
      </c>
      <c r="L268" s="2" t="s">
        <v>26</v>
      </c>
      <c r="M268" s="1">
        <v>2589</v>
      </c>
      <c r="N268" t="s">
        <v>27</v>
      </c>
      <c r="O268" s="5">
        <f>EDATE(O267,1)</f>
        <v>40940</v>
      </c>
      <c r="P268">
        <v>8</v>
      </c>
      <c r="Q268">
        <v>9</v>
      </c>
      <c r="R268" s="2">
        <f>ROUND(IF(1=1,IF(48&gt;0,1.5/(100+1.5)/48,1.5/(100+1.5)/50),1.5/(100+1.5)/50)*100,4)</f>
        <v>3.0800000000000001E-2</v>
      </c>
      <c r="S268">
        <v>50</v>
      </c>
      <c r="T268" s="2">
        <v>3.0800000000000001E-2</v>
      </c>
      <c r="U268" t="s">
        <v>28</v>
      </c>
      <c r="V268" t="s">
        <v>29</v>
      </c>
      <c r="W268">
        <v>0</v>
      </c>
      <c r="X268">
        <v>0</v>
      </c>
      <c r="Y268">
        <v>0</v>
      </c>
    </row>
    <row r="269" spans="1:25" x14ac:dyDescent="0.25">
      <c r="A269">
        <v>3</v>
      </c>
      <c r="B269" s="1">
        <v>1010</v>
      </c>
      <c r="C269" s="2" t="s">
        <v>36</v>
      </c>
      <c r="D269" s="2">
        <v>100000</v>
      </c>
      <c r="E269" s="2">
        <v>85600</v>
      </c>
      <c r="F269" s="1">
        <v>50</v>
      </c>
      <c r="G269" s="1">
        <v>9</v>
      </c>
      <c r="H269" s="2" t="s">
        <v>26</v>
      </c>
      <c r="J269" s="2" t="s">
        <v>26</v>
      </c>
      <c r="K269" s="2">
        <v>10000</v>
      </c>
      <c r="L269" s="2" t="s">
        <v>26</v>
      </c>
      <c r="M269" s="1">
        <v>2589</v>
      </c>
      <c r="N269" t="s">
        <v>27</v>
      </c>
      <c r="O269" s="5">
        <f>EDATE(O268,1)</f>
        <v>40969</v>
      </c>
      <c r="P269">
        <v>9</v>
      </c>
      <c r="Q269">
        <v>10</v>
      </c>
      <c r="R269" s="2">
        <f>ROUND(IF(1=1,IF(48&gt;0,1.5/(100+1.5)/48,1.5/(100+1.5)/50),1.5/(100+1.5)/50)*100,4)</f>
        <v>3.0800000000000001E-2</v>
      </c>
      <c r="S269">
        <v>50</v>
      </c>
      <c r="T269" s="2">
        <v>3.0800000000000001E-2</v>
      </c>
      <c r="U269" t="s">
        <v>28</v>
      </c>
      <c r="V269" t="s">
        <v>29</v>
      </c>
      <c r="W269">
        <v>0</v>
      </c>
      <c r="X269">
        <v>0</v>
      </c>
      <c r="Y269">
        <v>0</v>
      </c>
    </row>
    <row r="270" spans="1:25" x14ac:dyDescent="0.25">
      <c r="A270">
        <v>3</v>
      </c>
      <c r="B270" s="1">
        <v>1010</v>
      </c>
      <c r="C270" s="2" t="s">
        <v>36</v>
      </c>
      <c r="D270" s="2">
        <v>100000</v>
      </c>
      <c r="E270" s="2">
        <v>84000</v>
      </c>
      <c r="F270" s="1">
        <v>50</v>
      </c>
      <c r="G270" s="1">
        <v>10</v>
      </c>
      <c r="H270" s="2" t="s">
        <v>26</v>
      </c>
      <c r="J270" s="2" t="s">
        <v>26</v>
      </c>
      <c r="K270" s="2">
        <v>10000</v>
      </c>
      <c r="L270" s="2" t="s">
        <v>26</v>
      </c>
      <c r="M270" s="1">
        <v>2589</v>
      </c>
      <c r="N270" t="s">
        <v>27</v>
      </c>
      <c r="O270" s="5">
        <f>EDATE(O269,1)</f>
        <v>41000</v>
      </c>
      <c r="P270">
        <v>10</v>
      </c>
      <c r="Q270">
        <v>11</v>
      </c>
      <c r="R270" s="2">
        <f>ROUND(IF(1=1,IF(48&gt;0,1.5/(100+1.5)/48,1.5/(100+1.5)/50),1.5/(100+1.5)/50)*100,4)</f>
        <v>3.0800000000000001E-2</v>
      </c>
      <c r="S270">
        <v>50</v>
      </c>
      <c r="T270" s="2">
        <v>3.0800000000000001E-2</v>
      </c>
      <c r="U270" t="s">
        <v>28</v>
      </c>
      <c r="V270" t="s">
        <v>29</v>
      </c>
      <c r="W270">
        <v>0</v>
      </c>
      <c r="X270">
        <v>0</v>
      </c>
      <c r="Y270">
        <v>0</v>
      </c>
    </row>
    <row r="271" spans="1:25" x14ac:dyDescent="0.25">
      <c r="A271">
        <v>3</v>
      </c>
      <c r="B271" s="1">
        <v>1010</v>
      </c>
      <c r="C271" s="2" t="s">
        <v>36</v>
      </c>
      <c r="D271" s="2">
        <v>100000</v>
      </c>
      <c r="E271" s="2">
        <v>82400</v>
      </c>
      <c r="F271" s="1">
        <v>50</v>
      </c>
      <c r="G271" s="1">
        <v>11</v>
      </c>
      <c r="H271" s="2" t="s">
        <v>26</v>
      </c>
      <c r="J271" s="2" t="s">
        <v>26</v>
      </c>
      <c r="K271" s="2">
        <v>10000</v>
      </c>
      <c r="L271" s="2" t="s">
        <v>26</v>
      </c>
      <c r="M271" s="1">
        <v>2589</v>
      </c>
      <c r="N271" t="s">
        <v>27</v>
      </c>
      <c r="O271" s="5">
        <f>EDATE(O270,1)</f>
        <v>41030</v>
      </c>
      <c r="P271">
        <v>11</v>
      </c>
      <c r="Q271">
        <v>12</v>
      </c>
      <c r="R271" s="2">
        <f>ROUND(IF(1=1,IF(48&gt;0,1.5/(100+1.5)/48,1.5/(100+1.5)/50),1.5/(100+1.5)/50)*100,4)</f>
        <v>3.0800000000000001E-2</v>
      </c>
      <c r="S271">
        <v>50</v>
      </c>
      <c r="T271" s="2">
        <v>3.0800000000000001E-2</v>
      </c>
      <c r="U271" t="s">
        <v>28</v>
      </c>
      <c r="V271" t="s">
        <v>29</v>
      </c>
      <c r="W271">
        <v>0</v>
      </c>
      <c r="X271">
        <v>0</v>
      </c>
      <c r="Y271">
        <v>0</v>
      </c>
    </row>
    <row r="272" spans="1:25" x14ac:dyDescent="0.25">
      <c r="A272">
        <v>3</v>
      </c>
      <c r="B272" s="1">
        <v>1010</v>
      </c>
      <c r="C272" s="2" t="s">
        <v>36</v>
      </c>
      <c r="D272" s="2">
        <v>100000</v>
      </c>
      <c r="E272" s="2">
        <v>80800</v>
      </c>
      <c r="F272" s="1">
        <v>50</v>
      </c>
      <c r="G272" s="1">
        <v>12</v>
      </c>
      <c r="H272" s="2" t="s">
        <v>26</v>
      </c>
      <c r="J272" s="2" t="s">
        <v>26</v>
      </c>
      <c r="K272" s="2">
        <v>10000</v>
      </c>
      <c r="L272" s="2" t="s">
        <v>26</v>
      </c>
      <c r="M272" s="1">
        <v>2589</v>
      </c>
      <c r="N272" t="s">
        <v>27</v>
      </c>
      <c r="O272" s="5">
        <f>EDATE(O271,1)</f>
        <v>41061</v>
      </c>
      <c r="P272">
        <v>12</v>
      </c>
      <c r="Q272">
        <v>13</v>
      </c>
      <c r="R272" s="2">
        <f>ROUND(IF(1=1,IF(48&gt;0,1.5/(100+1.5)/48,1.5/(100+1.5)/50),1.5/(100+1.5)/50)*100,4)</f>
        <v>3.0800000000000001E-2</v>
      </c>
      <c r="S272">
        <v>50</v>
      </c>
      <c r="T272" s="2">
        <v>3.0800000000000001E-2</v>
      </c>
      <c r="U272" t="s">
        <v>28</v>
      </c>
      <c r="V272" t="s">
        <v>29</v>
      </c>
      <c r="W272">
        <v>0</v>
      </c>
      <c r="X272">
        <v>0</v>
      </c>
      <c r="Y272">
        <v>0</v>
      </c>
    </row>
    <row r="273" spans="1:25" x14ac:dyDescent="0.25">
      <c r="A273">
        <v>3</v>
      </c>
      <c r="B273" s="1">
        <v>1010</v>
      </c>
      <c r="C273" s="2" t="s">
        <v>36</v>
      </c>
      <c r="D273" s="2">
        <v>100000</v>
      </c>
      <c r="E273" s="2">
        <v>79200</v>
      </c>
      <c r="F273" s="1">
        <v>50</v>
      </c>
      <c r="G273" s="1">
        <v>13</v>
      </c>
      <c r="H273" s="2" t="s">
        <v>26</v>
      </c>
      <c r="J273" s="2" t="s">
        <v>26</v>
      </c>
      <c r="K273" s="2">
        <v>10000</v>
      </c>
      <c r="L273" s="2" t="s">
        <v>26</v>
      </c>
      <c r="M273" s="1">
        <v>2589</v>
      </c>
      <c r="N273" t="s">
        <v>27</v>
      </c>
      <c r="O273" s="5">
        <f>EDATE(O272,1)</f>
        <v>41091</v>
      </c>
      <c r="P273">
        <v>13</v>
      </c>
      <c r="Q273">
        <v>14</v>
      </c>
      <c r="R273" s="2">
        <f>ROUND(IF(1=1,IF(48&gt;0,1.5/(100+1.5)/48,1.5/(100+1.5)/50),1.5/(100+1.5)/50)*100,4)</f>
        <v>3.0800000000000001E-2</v>
      </c>
      <c r="S273">
        <v>50</v>
      </c>
      <c r="T273" s="2">
        <v>3.0800000000000001E-2</v>
      </c>
      <c r="U273" t="s">
        <v>28</v>
      </c>
      <c r="V273" t="s">
        <v>29</v>
      </c>
      <c r="W273">
        <v>0</v>
      </c>
      <c r="X273">
        <v>0</v>
      </c>
      <c r="Y273">
        <v>0</v>
      </c>
    </row>
    <row r="274" spans="1:25" x14ac:dyDescent="0.25">
      <c r="A274">
        <v>3</v>
      </c>
      <c r="B274" s="1">
        <v>1010</v>
      </c>
      <c r="C274" s="2" t="s">
        <v>36</v>
      </c>
      <c r="D274" s="2">
        <v>100000</v>
      </c>
      <c r="E274" s="2">
        <v>77600</v>
      </c>
      <c r="F274" s="1">
        <v>50</v>
      </c>
      <c r="G274" s="1">
        <v>14</v>
      </c>
      <c r="H274" s="2" t="s">
        <v>26</v>
      </c>
      <c r="J274" s="2" t="s">
        <v>26</v>
      </c>
      <c r="K274" s="2">
        <v>10000</v>
      </c>
      <c r="L274" s="2" t="s">
        <v>26</v>
      </c>
      <c r="M274" s="1">
        <v>2589</v>
      </c>
      <c r="N274" t="s">
        <v>27</v>
      </c>
      <c r="O274" s="5">
        <f>EDATE(O273,1)</f>
        <v>41122</v>
      </c>
      <c r="P274">
        <v>14</v>
      </c>
      <c r="Q274">
        <v>15</v>
      </c>
      <c r="R274" s="2">
        <f>ROUND(IF(1=1,IF(48&gt;0,1.5/(100+1.5)/48,1.5/(100+1.5)/50),1.5/(100+1.5)/50)*100,4)</f>
        <v>3.0800000000000001E-2</v>
      </c>
      <c r="S274">
        <v>50</v>
      </c>
      <c r="T274" s="2">
        <v>3.0800000000000001E-2</v>
      </c>
      <c r="U274" t="s">
        <v>28</v>
      </c>
      <c r="V274" t="s">
        <v>29</v>
      </c>
      <c r="W274">
        <v>0</v>
      </c>
      <c r="X274">
        <v>0</v>
      </c>
      <c r="Y274">
        <v>0</v>
      </c>
    </row>
    <row r="275" spans="1:25" x14ac:dyDescent="0.25">
      <c r="A275">
        <v>3</v>
      </c>
      <c r="B275" s="1">
        <v>1010</v>
      </c>
      <c r="C275" s="2" t="s">
        <v>36</v>
      </c>
      <c r="D275" s="2">
        <v>100000</v>
      </c>
      <c r="E275" s="2">
        <v>76000</v>
      </c>
      <c r="F275" s="1">
        <v>50</v>
      </c>
      <c r="G275" s="1">
        <v>15</v>
      </c>
      <c r="H275" s="2" t="s">
        <v>26</v>
      </c>
      <c r="J275" s="2" t="s">
        <v>26</v>
      </c>
      <c r="K275" s="2">
        <v>10000</v>
      </c>
      <c r="L275" s="2" t="s">
        <v>26</v>
      </c>
      <c r="M275" s="1">
        <v>2589</v>
      </c>
      <c r="N275" t="s">
        <v>27</v>
      </c>
      <c r="O275" s="5">
        <f>EDATE(O274,1)</f>
        <v>41153</v>
      </c>
      <c r="P275">
        <v>15</v>
      </c>
      <c r="Q275">
        <v>16</v>
      </c>
      <c r="R275" s="2">
        <f>ROUND(IF(1=1,IF(48&gt;0,1.5/(100+1.5)/48,1.5/(100+1.5)/50),1.5/(100+1.5)/50)*100,4)</f>
        <v>3.0800000000000001E-2</v>
      </c>
      <c r="S275">
        <v>50</v>
      </c>
      <c r="T275" s="2">
        <v>3.0800000000000001E-2</v>
      </c>
      <c r="U275" t="s">
        <v>28</v>
      </c>
      <c r="V275" t="s">
        <v>29</v>
      </c>
      <c r="W275">
        <v>0</v>
      </c>
      <c r="X275">
        <v>0</v>
      </c>
      <c r="Y275">
        <v>0</v>
      </c>
    </row>
    <row r="276" spans="1:25" x14ac:dyDescent="0.25">
      <c r="A276">
        <v>3</v>
      </c>
      <c r="B276" s="1">
        <v>1010</v>
      </c>
      <c r="C276" s="2" t="s">
        <v>36</v>
      </c>
      <c r="D276" s="2">
        <v>100000</v>
      </c>
      <c r="E276" s="2">
        <v>74400</v>
      </c>
      <c r="F276" s="1">
        <v>50</v>
      </c>
      <c r="G276" s="1">
        <v>16</v>
      </c>
      <c r="H276" s="2" t="s">
        <v>26</v>
      </c>
      <c r="J276" s="2" t="s">
        <v>26</v>
      </c>
      <c r="K276" s="2">
        <v>10000</v>
      </c>
      <c r="L276" s="2" t="s">
        <v>26</v>
      </c>
      <c r="M276" s="1">
        <v>2589</v>
      </c>
      <c r="N276" t="s">
        <v>27</v>
      </c>
      <c r="O276" s="5">
        <f>EDATE(O275,1)</f>
        <v>41183</v>
      </c>
      <c r="P276">
        <v>16</v>
      </c>
      <c r="Q276">
        <v>17</v>
      </c>
      <c r="R276" s="2">
        <f>ROUND(IF(1=1,IF(48&gt;0,1.5/(100+1.5)/48,1.5/(100+1.5)/50),1.5/(100+1.5)/50)*100,4)</f>
        <v>3.0800000000000001E-2</v>
      </c>
      <c r="S276">
        <v>50</v>
      </c>
      <c r="T276" s="2">
        <v>3.0800000000000001E-2</v>
      </c>
      <c r="U276" t="s">
        <v>28</v>
      </c>
      <c r="V276" t="s">
        <v>29</v>
      </c>
      <c r="W276">
        <v>0</v>
      </c>
      <c r="X276">
        <v>0</v>
      </c>
      <c r="Y276">
        <v>0</v>
      </c>
    </row>
    <row r="277" spans="1:25" x14ac:dyDescent="0.25">
      <c r="A277">
        <v>3</v>
      </c>
      <c r="B277" s="1">
        <v>1010</v>
      </c>
      <c r="C277" s="2" t="s">
        <v>36</v>
      </c>
      <c r="D277" s="2">
        <v>100000</v>
      </c>
      <c r="E277" s="2">
        <v>72800</v>
      </c>
      <c r="F277" s="1">
        <v>50</v>
      </c>
      <c r="G277" s="1">
        <v>17</v>
      </c>
      <c r="H277" s="2" t="s">
        <v>26</v>
      </c>
      <c r="J277" s="2" t="s">
        <v>26</v>
      </c>
      <c r="K277" s="2">
        <v>10000</v>
      </c>
      <c r="L277" s="2" t="s">
        <v>26</v>
      </c>
      <c r="M277" s="1">
        <v>2589</v>
      </c>
      <c r="N277" t="s">
        <v>27</v>
      </c>
      <c r="O277" s="5">
        <f>EDATE(O276,1)</f>
        <v>41214</v>
      </c>
      <c r="P277">
        <v>17</v>
      </c>
      <c r="Q277">
        <v>18</v>
      </c>
      <c r="R277" s="2">
        <f>ROUND(IF(1=1,IF(48&gt;0,1.5/(100+1.5)/48,1.5/(100+1.5)/50),1.5/(100+1.5)/50)*100,4)</f>
        <v>3.0800000000000001E-2</v>
      </c>
      <c r="S277">
        <v>50</v>
      </c>
      <c r="T277" s="2">
        <v>3.0800000000000001E-2</v>
      </c>
      <c r="U277" t="s">
        <v>28</v>
      </c>
      <c r="V277" t="s">
        <v>29</v>
      </c>
      <c r="W277">
        <v>0</v>
      </c>
      <c r="X277">
        <v>0</v>
      </c>
      <c r="Y277">
        <v>0</v>
      </c>
    </row>
    <row r="278" spans="1:25" x14ac:dyDescent="0.25">
      <c r="A278">
        <v>3</v>
      </c>
      <c r="B278" s="1">
        <v>1010</v>
      </c>
      <c r="C278" s="2" t="s">
        <v>36</v>
      </c>
      <c r="D278" s="2">
        <v>100000</v>
      </c>
      <c r="E278" s="2">
        <v>71200</v>
      </c>
      <c r="F278" s="1">
        <v>50</v>
      </c>
      <c r="G278" s="1">
        <v>18</v>
      </c>
      <c r="H278" s="2" t="s">
        <v>26</v>
      </c>
      <c r="J278" s="2" t="s">
        <v>26</v>
      </c>
      <c r="K278" s="2">
        <v>10000</v>
      </c>
      <c r="L278" s="2" t="s">
        <v>26</v>
      </c>
      <c r="M278" s="1">
        <v>2589</v>
      </c>
      <c r="N278" t="s">
        <v>27</v>
      </c>
      <c r="O278" s="5">
        <f>EDATE(O277,1)</f>
        <v>41244</v>
      </c>
      <c r="P278">
        <v>18</v>
      </c>
      <c r="Q278">
        <v>19</v>
      </c>
      <c r="R278" s="2">
        <f>ROUND(IF(1=1,IF(48&gt;0,1.5/(100+1.5)/48,1.5/(100+1.5)/50),1.5/(100+1.5)/50)*100,4)</f>
        <v>3.0800000000000001E-2</v>
      </c>
      <c r="S278">
        <v>50</v>
      </c>
      <c r="T278" s="2">
        <v>3.0800000000000001E-2</v>
      </c>
      <c r="U278" t="s">
        <v>28</v>
      </c>
      <c r="V278" t="s">
        <v>29</v>
      </c>
      <c r="W278">
        <v>0</v>
      </c>
      <c r="X278">
        <v>0</v>
      </c>
      <c r="Y278">
        <v>0</v>
      </c>
    </row>
    <row r="279" spans="1:25" x14ac:dyDescent="0.25">
      <c r="A279">
        <v>3</v>
      </c>
      <c r="B279" s="1">
        <v>1010</v>
      </c>
      <c r="C279" s="2" t="s">
        <v>36</v>
      </c>
      <c r="D279" s="2">
        <v>100000</v>
      </c>
      <c r="E279" s="2">
        <v>69600</v>
      </c>
      <c r="F279" s="1">
        <v>50</v>
      </c>
      <c r="G279" s="1">
        <v>19</v>
      </c>
      <c r="H279" s="2" t="s">
        <v>26</v>
      </c>
      <c r="J279" s="2" t="s">
        <v>26</v>
      </c>
      <c r="K279" s="2">
        <v>10000</v>
      </c>
      <c r="L279" s="2" t="s">
        <v>26</v>
      </c>
      <c r="M279" s="1">
        <v>2589</v>
      </c>
      <c r="N279" t="s">
        <v>27</v>
      </c>
      <c r="O279" s="5">
        <f>EDATE(O278,1)</f>
        <v>41275</v>
      </c>
      <c r="P279">
        <v>19</v>
      </c>
      <c r="Q279">
        <v>20</v>
      </c>
      <c r="R279" s="2">
        <f>ROUND(IF(1=1,IF(48&gt;0,1.5/(100+1.5)/48,1.5/(100+1.5)/50),1.5/(100+1.5)/50)*100,4)</f>
        <v>3.0800000000000001E-2</v>
      </c>
      <c r="S279">
        <v>50</v>
      </c>
      <c r="T279" s="2">
        <v>3.0800000000000001E-2</v>
      </c>
      <c r="U279" t="s">
        <v>28</v>
      </c>
      <c r="V279" t="s">
        <v>29</v>
      </c>
      <c r="W279">
        <v>0</v>
      </c>
      <c r="X279">
        <v>0</v>
      </c>
      <c r="Y279">
        <v>0</v>
      </c>
    </row>
    <row r="280" spans="1:25" x14ac:dyDescent="0.25">
      <c r="A280">
        <v>3</v>
      </c>
      <c r="B280" s="1">
        <v>1010</v>
      </c>
      <c r="C280" s="2" t="s">
        <v>36</v>
      </c>
      <c r="D280" s="2">
        <v>100000</v>
      </c>
      <c r="E280" s="2">
        <v>68000</v>
      </c>
      <c r="F280" s="1">
        <v>50</v>
      </c>
      <c r="G280" s="1">
        <v>20</v>
      </c>
      <c r="H280" s="2" t="s">
        <v>26</v>
      </c>
      <c r="J280" s="2" t="s">
        <v>26</v>
      </c>
      <c r="K280" s="2">
        <v>10000</v>
      </c>
      <c r="L280" s="2" t="s">
        <v>26</v>
      </c>
      <c r="M280" s="1">
        <v>2589</v>
      </c>
      <c r="N280" t="s">
        <v>27</v>
      </c>
      <c r="O280" s="5">
        <f>EDATE(O279,1)</f>
        <v>41306</v>
      </c>
      <c r="P280">
        <v>20</v>
      </c>
      <c r="Q280">
        <v>21</v>
      </c>
      <c r="R280" s="2">
        <f>ROUND(IF(1=1,IF(48&gt;0,1.5/(100+1.5)/48,1.5/(100+1.5)/50),1.5/(100+1.5)/50)*100,4)</f>
        <v>3.0800000000000001E-2</v>
      </c>
      <c r="S280">
        <v>50</v>
      </c>
      <c r="T280" s="2">
        <v>3.0800000000000001E-2</v>
      </c>
      <c r="U280" t="s">
        <v>28</v>
      </c>
      <c r="V280" t="s">
        <v>29</v>
      </c>
      <c r="W280">
        <v>0</v>
      </c>
      <c r="X280">
        <v>0</v>
      </c>
      <c r="Y280">
        <v>0</v>
      </c>
    </row>
    <row r="281" spans="1:25" x14ac:dyDescent="0.25">
      <c r="A281">
        <v>3</v>
      </c>
      <c r="B281" s="1">
        <v>1010</v>
      </c>
      <c r="C281" s="2" t="s">
        <v>36</v>
      </c>
      <c r="D281" s="2">
        <v>100000</v>
      </c>
      <c r="E281" s="2">
        <v>66400</v>
      </c>
      <c r="F281" s="1">
        <v>50</v>
      </c>
      <c r="G281" s="1">
        <v>21</v>
      </c>
      <c r="H281" s="2" t="s">
        <v>26</v>
      </c>
      <c r="J281" s="2" t="s">
        <v>26</v>
      </c>
      <c r="K281" s="2">
        <v>10000</v>
      </c>
      <c r="L281" s="2" t="s">
        <v>26</v>
      </c>
      <c r="M281" s="1">
        <v>2589</v>
      </c>
      <c r="N281" t="s">
        <v>27</v>
      </c>
      <c r="O281" s="5">
        <f>EDATE(O280,1)</f>
        <v>41334</v>
      </c>
      <c r="P281">
        <v>21</v>
      </c>
      <c r="Q281">
        <v>22</v>
      </c>
      <c r="R281" s="2">
        <f>ROUND(IF(1=1,IF(48&gt;0,1.5/(100+1.5)/48,1.5/(100+1.5)/50),1.5/(100+1.5)/50)*100,4)</f>
        <v>3.0800000000000001E-2</v>
      </c>
      <c r="S281">
        <v>50</v>
      </c>
      <c r="T281" s="2">
        <v>3.0800000000000001E-2</v>
      </c>
      <c r="U281" t="s">
        <v>28</v>
      </c>
      <c r="V281" t="s">
        <v>29</v>
      </c>
      <c r="W281">
        <v>0</v>
      </c>
      <c r="X281">
        <v>0</v>
      </c>
      <c r="Y281">
        <v>0</v>
      </c>
    </row>
    <row r="282" spans="1:25" x14ac:dyDescent="0.25">
      <c r="A282">
        <v>3</v>
      </c>
      <c r="B282" s="1">
        <v>1010</v>
      </c>
      <c r="C282" s="2" t="s">
        <v>36</v>
      </c>
      <c r="D282" s="2">
        <v>100000</v>
      </c>
      <c r="E282" s="2">
        <v>64800</v>
      </c>
      <c r="F282" s="1">
        <v>50</v>
      </c>
      <c r="G282" s="1">
        <v>22</v>
      </c>
      <c r="H282" s="2" t="s">
        <v>26</v>
      </c>
      <c r="J282" s="2" t="s">
        <v>26</v>
      </c>
      <c r="K282" s="2">
        <v>10000</v>
      </c>
      <c r="L282" s="2" t="s">
        <v>26</v>
      </c>
      <c r="M282" s="1">
        <v>2589</v>
      </c>
      <c r="N282" t="s">
        <v>27</v>
      </c>
      <c r="O282" s="5">
        <f>EDATE(O281,1)</f>
        <v>41365</v>
      </c>
      <c r="P282">
        <v>22</v>
      </c>
      <c r="Q282">
        <v>23</v>
      </c>
      <c r="R282" s="2">
        <f>ROUND(IF(1=1,IF(48&gt;0,1.5/(100+1.5)/48,1.5/(100+1.5)/50),1.5/(100+1.5)/50)*100,4)</f>
        <v>3.0800000000000001E-2</v>
      </c>
      <c r="S282">
        <v>50</v>
      </c>
      <c r="T282" s="2">
        <v>3.0800000000000001E-2</v>
      </c>
      <c r="U282" t="s">
        <v>28</v>
      </c>
      <c r="V282" t="s">
        <v>29</v>
      </c>
      <c r="W282">
        <v>0</v>
      </c>
      <c r="X282">
        <v>0</v>
      </c>
      <c r="Y282">
        <v>0</v>
      </c>
    </row>
    <row r="283" spans="1:25" x14ac:dyDescent="0.25">
      <c r="A283">
        <v>3</v>
      </c>
      <c r="B283" s="1">
        <v>1010</v>
      </c>
      <c r="C283" s="2" t="s">
        <v>36</v>
      </c>
      <c r="D283" s="2">
        <v>100000</v>
      </c>
      <c r="E283" s="2">
        <v>63200</v>
      </c>
      <c r="F283" s="1">
        <v>50</v>
      </c>
      <c r="G283" s="1">
        <v>23</v>
      </c>
      <c r="H283" s="2" t="s">
        <v>26</v>
      </c>
      <c r="J283" s="2" t="s">
        <v>26</v>
      </c>
      <c r="K283" s="2">
        <v>10000</v>
      </c>
      <c r="L283" s="2" t="s">
        <v>26</v>
      </c>
      <c r="M283" s="1">
        <v>2589</v>
      </c>
      <c r="N283" t="s">
        <v>27</v>
      </c>
      <c r="O283" s="5">
        <f>EDATE(O282,1)</f>
        <v>41395</v>
      </c>
      <c r="P283">
        <v>23</v>
      </c>
      <c r="Q283">
        <v>24</v>
      </c>
      <c r="R283" s="2">
        <f>ROUND(IF(1=1,IF(48&gt;0,1.5/(100+1.5)/48,1.5/(100+1.5)/50),1.5/(100+1.5)/50)*100,4)</f>
        <v>3.0800000000000001E-2</v>
      </c>
      <c r="S283">
        <v>50</v>
      </c>
      <c r="T283" s="2">
        <v>3.0800000000000001E-2</v>
      </c>
      <c r="U283" t="s">
        <v>28</v>
      </c>
      <c r="V283" t="s">
        <v>29</v>
      </c>
      <c r="W283">
        <v>0</v>
      </c>
      <c r="X283">
        <v>0</v>
      </c>
      <c r="Y283">
        <v>0</v>
      </c>
    </row>
    <row r="284" spans="1:25" x14ac:dyDescent="0.25">
      <c r="A284">
        <v>3</v>
      </c>
      <c r="B284" s="1">
        <v>1010</v>
      </c>
      <c r="C284" s="2" t="s">
        <v>36</v>
      </c>
      <c r="D284" s="2">
        <v>100000</v>
      </c>
      <c r="E284" s="2">
        <v>61600</v>
      </c>
      <c r="F284" s="1">
        <v>50</v>
      </c>
      <c r="G284" s="1">
        <v>24</v>
      </c>
      <c r="H284" s="2" t="s">
        <v>26</v>
      </c>
      <c r="J284" s="2" t="s">
        <v>26</v>
      </c>
      <c r="K284" s="2">
        <v>10000</v>
      </c>
      <c r="L284" s="2" t="s">
        <v>26</v>
      </c>
      <c r="M284" s="1">
        <v>2589</v>
      </c>
      <c r="N284" t="s">
        <v>27</v>
      </c>
      <c r="O284" s="5">
        <f>EDATE(O283,1)</f>
        <v>41426</v>
      </c>
      <c r="P284">
        <v>24</v>
      </c>
      <c r="Q284">
        <v>25</v>
      </c>
      <c r="R284" s="2">
        <f>ROUND(IF(1=1,IF(48&gt;0,1.5/(100+1.5)/48,1.5/(100+1.5)/50),1.5/(100+1.5)/50)*100,4)</f>
        <v>3.0800000000000001E-2</v>
      </c>
      <c r="S284">
        <v>50</v>
      </c>
      <c r="T284" s="2">
        <v>3.0800000000000001E-2</v>
      </c>
      <c r="U284" t="s">
        <v>28</v>
      </c>
      <c r="V284" t="s">
        <v>29</v>
      </c>
      <c r="W284">
        <v>0</v>
      </c>
      <c r="X284">
        <v>0</v>
      </c>
      <c r="Y284">
        <v>0</v>
      </c>
    </row>
    <row r="285" spans="1:25" x14ac:dyDescent="0.25">
      <c r="A285">
        <v>3</v>
      </c>
      <c r="B285" s="1">
        <v>1010</v>
      </c>
      <c r="C285" s="2" t="s">
        <v>36</v>
      </c>
      <c r="D285" s="2">
        <v>100000</v>
      </c>
      <c r="E285" s="2">
        <v>60000</v>
      </c>
      <c r="F285" s="1">
        <v>50</v>
      </c>
      <c r="G285" s="1">
        <v>25</v>
      </c>
      <c r="H285" s="2" t="s">
        <v>26</v>
      </c>
      <c r="J285" s="2" t="s">
        <v>26</v>
      </c>
      <c r="K285" s="2">
        <v>10000</v>
      </c>
      <c r="L285" s="2" t="s">
        <v>26</v>
      </c>
      <c r="M285" s="1">
        <v>2589</v>
      </c>
      <c r="N285" t="s">
        <v>27</v>
      </c>
      <c r="O285" s="5">
        <f>EDATE(O284,1)</f>
        <v>41456</v>
      </c>
      <c r="P285">
        <v>25</v>
      </c>
      <c r="Q285">
        <v>26</v>
      </c>
      <c r="R285" s="2">
        <f>ROUND(IF(1=1,IF(48&gt;0,1.5/(100+1.5)/48,1.5/(100+1.5)/50),1.5/(100+1.5)/50)*100,4)</f>
        <v>3.0800000000000001E-2</v>
      </c>
      <c r="S285">
        <v>50</v>
      </c>
      <c r="T285" s="2">
        <v>3.0800000000000001E-2</v>
      </c>
      <c r="U285" t="s">
        <v>28</v>
      </c>
      <c r="V285" t="s">
        <v>29</v>
      </c>
      <c r="W285">
        <v>0</v>
      </c>
      <c r="X285">
        <v>0</v>
      </c>
      <c r="Y285">
        <v>0</v>
      </c>
    </row>
    <row r="286" spans="1:25" x14ac:dyDescent="0.25">
      <c r="A286">
        <v>3</v>
      </c>
      <c r="B286" s="1">
        <v>1010</v>
      </c>
      <c r="C286" s="2" t="s">
        <v>36</v>
      </c>
      <c r="D286" s="2">
        <v>100000</v>
      </c>
      <c r="E286" s="2">
        <v>58400</v>
      </c>
      <c r="F286" s="1">
        <v>50</v>
      </c>
      <c r="G286" s="1">
        <v>26</v>
      </c>
      <c r="H286" s="2" t="s">
        <v>26</v>
      </c>
      <c r="J286" s="2" t="s">
        <v>26</v>
      </c>
      <c r="K286" s="2">
        <v>10000</v>
      </c>
      <c r="L286" s="2" t="s">
        <v>26</v>
      </c>
      <c r="M286" s="1">
        <v>2589</v>
      </c>
      <c r="N286" t="s">
        <v>27</v>
      </c>
      <c r="O286" s="5">
        <f>EDATE(O285,1)</f>
        <v>41487</v>
      </c>
      <c r="P286">
        <v>26</v>
      </c>
      <c r="Q286">
        <v>27</v>
      </c>
      <c r="R286" s="2">
        <f>ROUND(IF(1=1,IF(48&gt;0,1.5/(100+1.5)/48,1.5/(100+1.5)/50),1.5/(100+1.5)/50)*100,4)</f>
        <v>3.0800000000000001E-2</v>
      </c>
      <c r="S286">
        <v>50</v>
      </c>
      <c r="T286" s="2">
        <v>3.0800000000000001E-2</v>
      </c>
      <c r="U286" t="s">
        <v>28</v>
      </c>
      <c r="V286" t="s">
        <v>29</v>
      </c>
      <c r="W286">
        <v>0</v>
      </c>
      <c r="X286">
        <v>0</v>
      </c>
      <c r="Y286">
        <v>0</v>
      </c>
    </row>
    <row r="287" spans="1:25" x14ac:dyDescent="0.25">
      <c r="A287">
        <v>3</v>
      </c>
      <c r="B287" s="1">
        <v>1010</v>
      </c>
      <c r="C287" s="2" t="s">
        <v>36</v>
      </c>
      <c r="D287" s="2">
        <v>100000</v>
      </c>
      <c r="E287" s="2">
        <v>56800</v>
      </c>
      <c r="F287" s="1">
        <v>50</v>
      </c>
      <c r="G287" s="1">
        <v>27</v>
      </c>
      <c r="H287" s="2" t="s">
        <v>26</v>
      </c>
      <c r="J287" s="2" t="s">
        <v>26</v>
      </c>
      <c r="K287" s="2">
        <v>10000</v>
      </c>
      <c r="L287" s="2" t="s">
        <v>26</v>
      </c>
      <c r="M287" s="1">
        <v>2589</v>
      </c>
      <c r="N287" t="s">
        <v>27</v>
      </c>
      <c r="O287" s="5">
        <f>EDATE(O286,1)</f>
        <v>41518</v>
      </c>
      <c r="P287">
        <v>27</v>
      </c>
      <c r="Q287">
        <v>28</v>
      </c>
      <c r="R287" s="2">
        <f>ROUND(IF(1=1,IF(48&gt;0,1.5/(100+1.5)/48,1.5/(100+1.5)/50),1.5/(100+1.5)/50)*100,4)</f>
        <v>3.0800000000000001E-2</v>
      </c>
      <c r="S287">
        <v>50</v>
      </c>
      <c r="T287" s="2">
        <v>3.0800000000000001E-2</v>
      </c>
      <c r="U287" t="s">
        <v>28</v>
      </c>
      <c r="V287" t="s">
        <v>29</v>
      </c>
      <c r="W287">
        <v>0</v>
      </c>
      <c r="X287">
        <v>0</v>
      </c>
      <c r="Y287">
        <v>0</v>
      </c>
    </row>
    <row r="288" spans="1:25" x14ac:dyDescent="0.25">
      <c r="A288">
        <v>3</v>
      </c>
      <c r="B288" s="1">
        <v>1010</v>
      </c>
      <c r="C288" s="2" t="s">
        <v>36</v>
      </c>
      <c r="D288" s="2">
        <v>100000</v>
      </c>
      <c r="E288" s="2">
        <v>55200</v>
      </c>
      <c r="F288" s="1">
        <v>50</v>
      </c>
      <c r="G288" s="1">
        <v>28</v>
      </c>
      <c r="H288" s="2" t="s">
        <v>26</v>
      </c>
      <c r="J288" s="2" t="s">
        <v>26</v>
      </c>
      <c r="K288" s="2">
        <v>10000</v>
      </c>
      <c r="L288" s="2" t="s">
        <v>26</v>
      </c>
      <c r="M288" s="1">
        <v>2589</v>
      </c>
      <c r="N288" t="s">
        <v>27</v>
      </c>
      <c r="O288" s="5">
        <f>EDATE(O287,1)</f>
        <v>41548</v>
      </c>
      <c r="P288">
        <v>28</v>
      </c>
      <c r="Q288">
        <v>29</v>
      </c>
      <c r="R288" s="2">
        <f>ROUND(IF(1=1,IF(48&gt;0,1.5/(100+1.5)/48,1.5/(100+1.5)/50),1.5/(100+1.5)/50)*100,4)</f>
        <v>3.0800000000000001E-2</v>
      </c>
      <c r="S288">
        <v>50</v>
      </c>
      <c r="T288" s="2">
        <v>3.0800000000000001E-2</v>
      </c>
      <c r="U288" t="s">
        <v>28</v>
      </c>
      <c r="V288" t="s">
        <v>29</v>
      </c>
      <c r="W288">
        <v>0</v>
      </c>
      <c r="X288">
        <v>0</v>
      </c>
      <c r="Y288">
        <v>0</v>
      </c>
    </row>
    <row r="289" spans="1:25" x14ac:dyDescent="0.25">
      <c r="A289">
        <v>3</v>
      </c>
      <c r="B289" s="1">
        <v>1010</v>
      </c>
      <c r="C289" s="2" t="s">
        <v>36</v>
      </c>
      <c r="D289" s="2">
        <v>100000</v>
      </c>
      <c r="E289" s="2">
        <v>53600</v>
      </c>
      <c r="F289" s="1">
        <v>50</v>
      </c>
      <c r="G289" s="1">
        <v>29</v>
      </c>
      <c r="H289" s="2" t="s">
        <v>26</v>
      </c>
      <c r="J289" s="2" t="s">
        <v>26</v>
      </c>
      <c r="K289" s="2">
        <v>10000</v>
      </c>
      <c r="L289" s="2" t="s">
        <v>26</v>
      </c>
      <c r="M289" s="1">
        <v>2589</v>
      </c>
      <c r="N289" t="s">
        <v>27</v>
      </c>
      <c r="O289" s="5">
        <f>EDATE(O288,1)</f>
        <v>41579</v>
      </c>
      <c r="P289">
        <v>29</v>
      </c>
      <c r="Q289">
        <v>30</v>
      </c>
      <c r="R289" s="2">
        <f>ROUND(IF(1=1,IF(48&gt;0,1.5/(100+1.5)/48,1.5/(100+1.5)/50),1.5/(100+1.5)/50)*100,4)</f>
        <v>3.0800000000000001E-2</v>
      </c>
      <c r="S289">
        <v>50</v>
      </c>
      <c r="T289" s="2">
        <v>3.0800000000000001E-2</v>
      </c>
      <c r="U289" t="s">
        <v>28</v>
      </c>
      <c r="V289" t="s">
        <v>29</v>
      </c>
      <c r="W289">
        <v>0</v>
      </c>
      <c r="X289">
        <v>0</v>
      </c>
      <c r="Y289">
        <v>0</v>
      </c>
    </row>
    <row r="290" spans="1:25" x14ac:dyDescent="0.25">
      <c r="A290">
        <v>3</v>
      </c>
      <c r="B290" s="1">
        <v>1010</v>
      </c>
      <c r="C290" s="2" t="s">
        <v>36</v>
      </c>
      <c r="D290" s="2">
        <v>100000</v>
      </c>
      <c r="E290" s="2">
        <v>52000</v>
      </c>
      <c r="F290" s="1">
        <v>50</v>
      </c>
      <c r="G290" s="1">
        <v>30</v>
      </c>
      <c r="H290" s="2" t="s">
        <v>26</v>
      </c>
      <c r="J290" s="2" t="s">
        <v>26</v>
      </c>
      <c r="K290" s="2">
        <v>10000</v>
      </c>
      <c r="L290" s="2" t="s">
        <v>26</v>
      </c>
      <c r="M290" s="1">
        <v>2589</v>
      </c>
      <c r="N290" t="s">
        <v>27</v>
      </c>
      <c r="O290" s="5">
        <f>EDATE(O289,1)</f>
        <v>41609</v>
      </c>
      <c r="P290">
        <v>30</v>
      </c>
      <c r="Q290">
        <v>31</v>
      </c>
      <c r="R290" s="2">
        <f>ROUND(IF(1=1,IF(48&gt;0,1.5/(100+1.5)/48,1.5/(100+1.5)/50),1.5/(100+1.5)/50)*100,4)</f>
        <v>3.0800000000000001E-2</v>
      </c>
      <c r="S290">
        <v>50</v>
      </c>
      <c r="T290" s="2">
        <v>3.0800000000000001E-2</v>
      </c>
      <c r="U290" t="s">
        <v>28</v>
      </c>
      <c r="V290" t="s">
        <v>29</v>
      </c>
      <c r="W290">
        <v>0</v>
      </c>
      <c r="X290">
        <v>0</v>
      </c>
      <c r="Y290">
        <v>0</v>
      </c>
    </row>
    <row r="291" spans="1:25" x14ac:dyDescent="0.25">
      <c r="A291">
        <v>3</v>
      </c>
      <c r="B291" s="1">
        <v>1010</v>
      </c>
      <c r="C291" s="2" t="s">
        <v>36</v>
      </c>
      <c r="D291" s="2">
        <v>100000</v>
      </c>
      <c r="E291" s="2">
        <v>50400</v>
      </c>
      <c r="F291" s="1">
        <v>50</v>
      </c>
      <c r="G291" s="1">
        <v>31</v>
      </c>
      <c r="H291" s="2" t="s">
        <v>26</v>
      </c>
      <c r="J291" s="2" t="s">
        <v>26</v>
      </c>
      <c r="K291" s="2">
        <v>10000</v>
      </c>
      <c r="L291" s="2" t="s">
        <v>26</v>
      </c>
      <c r="M291" s="1">
        <v>2589</v>
      </c>
      <c r="N291" t="s">
        <v>27</v>
      </c>
      <c r="O291" s="5">
        <f>EDATE(O290,1)</f>
        <v>41640</v>
      </c>
      <c r="P291">
        <v>31</v>
      </c>
      <c r="Q291">
        <v>32</v>
      </c>
      <c r="R291" s="2">
        <f>ROUND(IF(1=1,IF(48&gt;0,1.5/(100+1.5)/48,1.5/(100+1.5)/50),1.5/(100+1.5)/50)*100,4)</f>
        <v>3.0800000000000001E-2</v>
      </c>
      <c r="S291">
        <v>50</v>
      </c>
      <c r="T291" s="2">
        <v>3.0800000000000001E-2</v>
      </c>
      <c r="U291" t="s">
        <v>28</v>
      </c>
      <c r="V291" t="s">
        <v>29</v>
      </c>
      <c r="W291">
        <v>0</v>
      </c>
      <c r="X291">
        <v>0</v>
      </c>
      <c r="Y291">
        <v>0</v>
      </c>
    </row>
    <row r="292" spans="1:25" x14ac:dyDescent="0.25">
      <c r="A292">
        <v>3</v>
      </c>
      <c r="B292" s="1">
        <v>1010</v>
      </c>
      <c r="C292" s="2" t="s">
        <v>36</v>
      </c>
      <c r="D292" s="2">
        <v>100000</v>
      </c>
      <c r="E292" s="2">
        <v>48800</v>
      </c>
      <c r="F292" s="1">
        <v>50</v>
      </c>
      <c r="G292" s="1">
        <v>32</v>
      </c>
      <c r="H292" s="2" t="s">
        <v>26</v>
      </c>
      <c r="J292" s="2" t="s">
        <v>26</v>
      </c>
      <c r="K292" s="2">
        <v>10000</v>
      </c>
      <c r="L292" s="2" t="s">
        <v>26</v>
      </c>
      <c r="M292" s="1">
        <v>2589</v>
      </c>
      <c r="N292" t="s">
        <v>27</v>
      </c>
      <c r="O292" s="5">
        <f>EDATE(O291,1)</f>
        <v>41671</v>
      </c>
      <c r="P292">
        <v>32</v>
      </c>
      <c r="Q292">
        <v>33</v>
      </c>
      <c r="R292" s="2">
        <f>ROUND(IF(1=1,IF(48&gt;0,1.5/(100+1.5)/48,1.5/(100+1.5)/50),1.5/(100+1.5)/50)*100,4)</f>
        <v>3.0800000000000001E-2</v>
      </c>
      <c r="S292">
        <v>50</v>
      </c>
      <c r="T292" s="2">
        <v>3.0800000000000001E-2</v>
      </c>
      <c r="U292" t="s">
        <v>28</v>
      </c>
      <c r="V292" t="s">
        <v>29</v>
      </c>
      <c r="W292">
        <v>0</v>
      </c>
      <c r="X292">
        <v>0</v>
      </c>
      <c r="Y292">
        <v>0</v>
      </c>
    </row>
    <row r="293" spans="1:25" x14ac:dyDescent="0.25">
      <c r="A293">
        <v>3</v>
      </c>
      <c r="B293" s="1">
        <v>1010</v>
      </c>
      <c r="C293" s="2" t="s">
        <v>36</v>
      </c>
      <c r="D293" s="2">
        <v>100000</v>
      </c>
      <c r="E293" s="2">
        <v>47200</v>
      </c>
      <c r="F293" s="1">
        <v>50</v>
      </c>
      <c r="G293" s="1">
        <v>33</v>
      </c>
      <c r="H293" s="2" t="s">
        <v>26</v>
      </c>
      <c r="J293" s="2" t="s">
        <v>26</v>
      </c>
      <c r="K293" s="2">
        <v>10000</v>
      </c>
      <c r="L293" s="2" t="s">
        <v>26</v>
      </c>
      <c r="M293" s="1">
        <v>2589</v>
      </c>
      <c r="N293" t="s">
        <v>27</v>
      </c>
      <c r="O293" s="5">
        <f>EDATE(O292,1)</f>
        <v>41699</v>
      </c>
      <c r="P293">
        <v>33</v>
      </c>
      <c r="Q293">
        <v>34</v>
      </c>
      <c r="R293" s="2">
        <f>ROUND(IF(1=1,IF(48&gt;0,1.5/(100+1.5)/48,1.5/(100+1.5)/50),1.5/(100+1.5)/50)*100,4)</f>
        <v>3.0800000000000001E-2</v>
      </c>
      <c r="S293">
        <v>50</v>
      </c>
      <c r="T293" s="2">
        <v>3.0800000000000001E-2</v>
      </c>
      <c r="U293" t="s">
        <v>28</v>
      </c>
      <c r="V293" t="s">
        <v>29</v>
      </c>
      <c r="W293">
        <v>0</v>
      </c>
      <c r="X293">
        <v>0</v>
      </c>
      <c r="Y293">
        <v>0</v>
      </c>
    </row>
    <row r="294" spans="1:25" x14ac:dyDescent="0.25">
      <c r="A294">
        <v>3</v>
      </c>
      <c r="B294" s="1">
        <v>1010</v>
      </c>
      <c r="C294" s="2" t="s">
        <v>36</v>
      </c>
      <c r="D294" s="2">
        <v>100000</v>
      </c>
      <c r="E294" s="2">
        <v>45600</v>
      </c>
      <c r="F294" s="1">
        <v>50</v>
      </c>
      <c r="G294" s="1">
        <v>34</v>
      </c>
      <c r="H294" s="2" t="s">
        <v>26</v>
      </c>
      <c r="J294" s="2" t="s">
        <v>26</v>
      </c>
      <c r="K294" s="2">
        <v>10000</v>
      </c>
      <c r="L294" s="2" t="s">
        <v>26</v>
      </c>
      <c r="M294" s="1">
        <v>2589</v>
      </c>
      <c r="N294" t="s">
        <v>27</v>
      </c>
      <c r="O294" s="5">
        <f>EDATE(O293,1)</f>
        <v>41730</v>
      </c>
      <c r="P294">
        <v>34</v>
      </c>
      <c r="Q294">
        <v>35</v>
      </c>
      <c r="R294" s="2">
        <f>ROUND(IF(1=1,IF(48&gt;0,1.5/(100+1.5)/48,1.5/(100+1.5)/50),1.5/(100+1.5)/50)*100,4)</f>
        <v>3.0800000000000001E-2</v>
      </c>
      <c r="S294">
        <v>50</v>
      </c>
      <c r="T294" s="2">
        <v>3.0800000000000001E-2</v>
      </c>
      <c r="U294" t="s">
        <v>28</v>
      </c>
      <c r="V294" t="s">
        <v>29</v>
      </c>
      <c r="W294">
        <v>0</v>
      </c>
      <c r="X294">
        <v>0</v>
      </c>
      <c r="Y294">
        <v>0</v>
      </c>
    </row>
    <row r="295" spans="1:25" x14ac:dyDescent="0.25">
      <c r="A295">
        <v>3</v>
      </c>
      <c r="B295" s="1">
        <v>1010</v>
      </c>
      <c r="C295" s="2" t="s">
        <v>36</v>
      </c>
      <c r="D295" s="2">
        <v>100000</v>
      </c>
      <c r="E295" s="2">
        <v>44000</v>
      </c>
      <c r="F295" s="1">
        <v>50</v>
      </c>
      <c r="G295" s="1">
        <v>35</v>
      </c>
      <c r="H295" s="2" t="s">
        <v>26</v>
      </c>
      <c r="J295" s="2" t="s">
        <v>26</v>
      </c>
      <c r="K295" s="2">
        <v>10000</v>
      </c>
      <c r="L295" s="2" t="s">
        <v>26</v>
      </c>
      <c r="M295" s="1">
        <v>2589</v>
      </c>
      <c r="N295" t="s">
        <v>27</v>
      </c>
      <c r="O295" s="5">
        <f>EDATE(O294,1)</f>
        <v>41760</v>
      </c>
      <c r="P295">
        <v>35</v>
      </c>
      <c r="Q295">
        <v>36</v>
      </c>
      <c r="R295" s="2">
        <f>ROUND(IF(1=1,IF(48&gt;0,1.5/(100+1.5)/48,1.5/(100+1.5)/50),1.5/(100+1.5)/50)*100,4)</f>
        <v>3.0800000000000001E-2</v>
      </c>
      <c r="S295">
        <v>50</v>
      </c>
      <c r="T295" s="2">
        <v>3.0800000000000001E-2</v>
      </c>
      <c r="U295" t="s">
        <v>28</v>
      </c>
      <c r="V295" t="s">
        <v>29</v>
      </c>
      <c r="W295">
        <v>0</v>
      </c>
      <c r="X295">
        <v>0</v>
      </c>
      <c r="Y295">
        <v>0</v>
      </c>
    </row>
    <row r="296" spans="1:25" x14ac:dyDescent="0.25">
      <c r="A296">
        <v>3</v>
      </c>
      <c r="B296" s="1">
        <v>1010</v>
      </c>
      <c r="C296" s="2" t="s">
        <v>36</v>
      </c>
      <c r="D296" s="2">
        <v>100000</v>
      </c>
      <c r="E296" s="2">
        <v>42400</v>
      </c>
      <c r="F296" s="1">
        <v>50</v>
      </c>
      <c r="G296" s="1">
        <v>36</v>
      </c>
      <c r="H296" s="2" t="s">
        <v>26</v>
      </c>
      <c r="J296" s="2" t="s">
        <v>26</v>
      </c>
      <c r="K296" s="2">
        <v>10000</v>
      </c>
      <c r="L296" s="2" t="s">
        <v>26</v>
      </c>
      <c r="M296" s="1">
        <v>2589</v>
      </c>
      <c r="N296" t="s">
        <v>27</v>
      </c>
      <c r="O296" s="5">
        <f>EDATE(O295,1)</f>
        <v>41791</v>
      </c>
      <c r="P296">
        <v>36</v>
      </c>
      <c r="Q296">
        <v>37</v>
      </c>
      <c r="R296" s="2">
        <f>ROUND(IF(1=1,IF(48&gt;0,1.5/(100+1.5)/48,1.5/(100+1.5)/50),1.5/(100+1.5)/50)*100,4)</f>
        <v>3.0800000000000001E-2</v>
      </c>
      <c r="S296">
        <v>50</v>
      </c>
      <c r="T296" s="2">
        <v>3.0800000000000001E-2</v>
      </c>
      <c r="U296" t="s">
        <v>28</v>
      </c>
      <c r="V296" t="s">
        <v>29</v>
      </c>
      <c r="W296">
        <v>0</v>
      </c>
      <c r="X296">
        <v>0</v>
      </c>
      <c r="Y296">
        <v>0</v>
      </c>
    </row>
    <row r="297" spans="1:25" x14ac:dyDescent="0.25">
      <c r="A297">
        <v>3</v>
      </c>
      <c r="B297" s="1">
        <v>1010</v>
      </c>
      <c r="C297" s="2" t="s">
        <v>36</v>
      </c>
      <c r="D297" s="2">
        <v>100000</v>
      </c>
      <c r="E297" s="2">
        <v>40800</v>
      </c>
      <c r="F297" s="1">
        <v>50</v>
      </c>
      <c r="G297" s="1">
        <v>37</v>
      </c>
      <c r="H297" s="2" t="s">
        <v>26</v>
      </c>
      <c r="J297" s="2" t="s">
        <v>26</v>
      </c>
      <c r="K297" s="2">
        <v>10000</v>
      </c>
      <c r="L297" s="2" t="s">
        <v>26</v>
      </c>
      <c r="M297" s="1">
        <v>2589</v>
      </c>
      <c r="N297" t="s">
        <v>27</v>
      </c>
      <c r="O297" s="5">
        <f>EDATE(O296,1)</f>
        <v>41821</v>
      </c>
      <c r="P297">
        <v>37</v>
      </c>
      <c r="Q297">
        <v>38</v>
      </c>
      <c r="R297" s="2">
        <f>ROUND(IF(1=1,IF(48&gt;0,1.5/(100+1.5)/48,1.5/(100+1.5)/50),1.5/(100+1.5)/50)*100,4)</f>
        <v>3.0800000000000001E-2</v>
      </c>
      <c r="S297">
        <v>50</v>
      </c>
      <c r="T297" s="2">
        <v>3.0800000000000001E-2</v>
      </c>
      <c r="U297" t="s">
        <v>28</v>
      </c>
      <c r="V297" t="s">
        <v>29</v>
      </c>
      <c r="W297">
        <v>0</v>
      </c>
      <c r="X297">
        <v>0</v>
      </c>
      <c r="Y297">
        <v>0</v>
      </c>
    </row>
    <row r="298" spans="1:25" x14ac:dyDescent="0.25">
      <c r="A298">
        <v>3</v>
      </c>
      <c r="B298" s="1">
        <v>1010</v>
      </c>
      <c r="C298" s="2" t="s">
        <v>36</v>
      </c>
      <c r="D298" s="2">
        <v>100000</v>
      </c>
      <c r="E298" s="2">
        <v>39200</v>
      </c>
      <c r="F298" s="1">
        <v>50</v>
      </c>
      <c r="G298" s="1">
        <v>38</v>
      </c>
      <c r="H298" s="2" t="s">
        <v>26</v>
      </c>
      <c r="J298" s="2" t="s">
        <v>26</v>
      </c>
      <c r="K298" s="2">
        <v>10000</v>
      </c>
      <c r="L298" s="2" t="s">
        <v>26</v>
      </c>
      <c r="M298" s="1">
        <v>2589</v>
      </c>
      <c r="N298" t="s">
        <v>27</v>
      </c>
      <c r="O298" s="5">
        <f>EDATE(O297,1)</f>
        <v>41852</v>
      </c>
      <c r="P298">
        <v>38</v>
      </c>
      <c r="Q298">
        <v>39</v>
      </c>
      <c r="R298" s="2">
        <f>ROUND(IF(1=1,IF(48&gt;0,1.5/(100+1.5)/48,1.5/(100+1.5)/50),1.5/(100+1.5)/50)*100,4)</f>
        <v>3.0800000000000001E-2</v>
      </c>
      <c r="S298">
        <v>50</v>
      </c>
      <c r="T298" s="2">
        <v>3.0800000000000001E-2</v>
      </c>
      <c r="U298" t="s">
        <v>28</v>
      </c>
      <c r="V298" t="s">
        <v>29</v>
      </c>
      <c r="W298">
        <v>0</v>
      </c>
      <c r="X298">
        <v>0</v>
      </c>
      <c r="Y298">
        <v>0</v>
      </c>
    </row>
    <row r="299" spans="1:25" x14ac:dyDescent="0.25">
      <c r="A299">
        <v>3</v>
      </c>
      <c r="B299" s="1">
        <v>1010</v>
      </c>
      <c r="C299" s="2" t="s">
        <v>36</v>
      </c>
      <c r="D299" s="2">
        <v>100000</v>
      </c>
      <c r="E299" s="2">
        <v>37600</v>
      </c>
      <c r="F299" s="1">
        <v>50</v>
      </c>
      <c r="G299" s="1">
        <v>39</v>
      </c>
      <c r="H299" s="2" t="s">
        <v>26</v>
      </c>
      <c r="J299" s="2" t="s">
        <v>26</v>
      </c>
      <c r="K299" s="2">
        <v>10000</v>
      </c>
      <c r="L299" s="2" t="s">
        <v>26</v>
      </c>
      <c r="M299" s="1">
        <v>2589</v>
      </c>
      <c r="N299" t="s">
        <v>27</v>
      </c>
      <c r="O299" s="5">
        <f>EDATE(O298,1)</f>
        <v>41883</v>
      </c>
      <c r="P299">
        <v>39</v>
      </c>
      <c r="Q299">
        <v>40</v>
      </c>
      <c r="R299" s="2">
        <f>ROUND(IF(1=1,IF(48&gt;0,1.5/(100+1.5)/48,1.5/(100+1.5)/50),1.5/(100+1.5)/50)*100,4)</f>
        <v>3.0800000000000001E-2</v>
      </c>
      <c r="S299">
        <v>50</v>
      </c>
      <c r="T299" s="2">
        <v>3.0800000000000001E-2</v>
      </c>
      <c r="U299" t="s">
        <v>28</v>
      </c>
      <c r="V299" t="s">
        <v>29</v>
      </c>
      <c r="W299">
        <v>0</v>
      </c>
      <c r="X299">
        <v>0</v>
      </c>
      <c r="Y299">
        <v>0</v>
      </c>
    </row>
    <row r="300" spans="1:25" x14ac:dyDescent="0.25">
      <c r="A300">
        <v>3</v>
      </c>
      <c r="B300" s="1">
        <v>1010</v>
      </c>
      <c r="C300" s="2" t="s">
        <v>36</v>
      </c>
      <c r="D300" s="2">
        <v>100000</v>
      </c>
      <c r="E300" s="2">
        <v>36000</v>
      </c>
      <c r="F300" s="1">
        <v>50</v>
      </c>
      <c r="G300" s="1">
        <v>40</v>
      </c>
      <c r="H300" s="2" t="s">
        <v>26</v>
      </c>
      <c r="J300" s="2" t="s">
        <v>26</v>
      </c>
      <c r="K300" s="2">
        <v>10000</v>
      </c>
      <c r="L300" s="2" t="s">
        <v>26</v>
      </c>
      <c r="M300" s="1">
        <v>2589</v>
      </c>
      <c r="N300" t="s">
        <v>27</v>
      </c>
      <c r="O300" s="5">
        <f>EDATE(O299,1)</f>
        <v>41913</v>
      </c>
      <c r="P300">
        <v>40</v>
      </c>
      <c r="Q300">
        <v>41</v>
      </c>
      <c r="R300" s="2">
        <f>ROUND(IF(1=1,IF(48&gt;0,1.5/(100+1.5)/48,1.5/(100+1.5)/50),1.5/(100+1.5)/50)*100,4)</f>
        <v>3.0800000000000001E-2</v>
      </c>
      <c r="S300">
        <v>50</v>
      </c>
      <c r="T300" s="2">
        <v>3.0800000000000001E-2</v>
      </c>
      <c r="U300" t="s">
        <v>28</v>
      </c>
      <c r="V300" t="s">
        <v>29</v>
      </c>
      <c r="W300">
        <v>0</v>
      </c>
      <c r="X300">
        <v>0</v>
      </c>
      <c r="Y300">
        <v>0</v>
      </c>
    </row>
    <row r="301" spans="1:25" x14ac:dyDescent="0.25">
      <c r="A301">
        <v>3</v>
      </c>
      <c r="B301" s="1">
        <v>1010</v>
      </c>
      <c r="C301" s="2" t="s">
        <v>36</v>
      </c>
      <c r="D301" s="2">
        <v>100000</v>
      </c>
      <c r="E301" s="2">
        <v>34400</v>
      </c>
      <c r="F301" s="1">
        <v>50</v>
      </c>
      <c r="G301" s="1">
        <v>41</v>
      </c>
      <c r="H301" s="2" t="s">
        <v>26</v>
      </c>
      <c r="J301" s="2" t="s">
        <v>26</v>
      </c>
      <c r="K301" s="2">
        <v>10000</v>
      </c>
      <c r="L301" s="2" t="s">
        <v>26</v>
      </c>
      <c r="M301" s="1">
        <v>2589</v>
      </c>
      <c r="N301" t="s">
        <v>27</v>
      </c>
      <c r="O301" s="5">
        <f>EDATE(O300,1)</f>
        <v>41944</v>
      </c>
      <c r="P301">
        <v>41</v>
      </c>
      <c r="Q301">
        <v>42</v>
      </c>
      <c r="R301" s="2">
        <f>ROUND(IF(1=1,IF(48&gt;0,1.5/(100+1.5)/48,1.5/(100+1.5)/50),1.5/(100+1.5)/50)*100,4)</f>
        <v>3.0800000000000001E-2</v>
      </c>
      <c r="S301">
        <v>50</v>
      </c>
      <c r="T301" s="2">
        <v>3.0800000000000001E-2</v>
      </c>
      <c r="U301" t="s">
        <v>28</v>
      </c>
      <c r="V301" t="s">
        <v>29</v>
      </c>
      <c r="W301">
        <v>0</v>
      </c>
      <c r="X301">
        <v>0</v>
      </c>
      <c r="Y301">
        <v>0</v>
      </c>
    </row>
    <row r="302" spans="1:25" x14ac:dyDescent="0.25">
      <c r="A302">
        <v>3</v>
      </c>
      <c r="B302" s="1">
        <v>1010</v>
      </c>
      <c r="C302" s="2" t="s">
        <v>36</v>
      </c>
      <c r="D302" s="2">
        <v>100000</v>
      </c>
      <c r="E302" s="2">
        <v>32800</v>
      </c>
      <c r="F302" s="1">
        <v>50</v>
      </c>
      <c r="G302" s="1">
        <v>42</v>
      </c>
      <c r="H302" s="2" t="s">
        <v>26</v>
      </c>
      <c r="J302" s="2" t="s">
        <v>26</v>
      </c>
      <c r="K302" s="2">
        <v>10000</v>
      </c>
      <c r="L302" s="2" t="s">
        <v>26</v>
      </c>
      <c r="M302" s="1">
        <v>2589</v>
      </c>
      <c r="N302" t="s">
        <v>27</v>
      </c>
      <c r="O302" s="5">
        <f>EDATE(O301,1)</f>
        <v>41974</v>
      </c>
      <c r="P302">
        <v>42</v>
      </c>
      <c r="Q302">
        <v>43</v>
      </c>
      <c r="R302" s="2">
        <f>ROUND(IF(1=1,IF(48&gt;0,1.5/(100+1.5)/48,1.5/(100+1.5)/50),1.5/(100+1.5)/50)*100,4)</f>
        <v>3.0800000000000001E-2</v>
      </c>
      <c r="S302">
        <v>50</v>
      </c>
      <c r="T302" s="2">
        <v>3.0800000000000001E-2</v>
      </c>
      <c r="U302" t="s">
        <v>28</v>
      </c>
      <c r="V302" t="s">
        <v>29</v>
      </c>
      <c r="W302">
        <v>0</v>
      </c>
      <c r="X302">
        <v>0</v>
      </c>
      <c r="Y302">
        <v>0</v>
      </c>
    </row>
    <row r="303" spans="1:25" x14ac:dyDescent="0.25">
      <c r="A303">
        <v>3</v>
      </c>
      <c r="B303" s="1">
        <v>1010</v>
      </c>
      <c r="C303" s="2" t="s">
        <v>36</v>
      </c>
      <c r="D303" s="2">
        <v>100000</v>
      </c>
      <c r="E303" s="2">
        <v>31200</v>
      </c>
      <c r="F303" s="1">
        <v>50</v>
      </c>
      <c r="G303" s="1">
        <v>43</v>
      </c>
      <c r="H303" s="2" t="s">
        <v>26</v>
      </c>
      <c r="J303" s="2" t="s">
        <v>26</v>
      </c>
      <c r="K303" s="2">
        <v>10000</v>
      </c>
      <c r="L303" s="2" t="s">
        <v>26</v>
      </c>
      <c r="M303" s="1">
        <v>2589</v>
      </c>
      <c r="N303" t="s">
        <v>27</v>
      </c>
      <c r="O303" s="5">
        <f>EDATE(O302,1)</f>
        <v>42005</v>
      </c>
      <c r="P303">
        <v>43</v>
      </c>
      <c r="Q303">
        <v>44</v>
      </c>
      <c r="R303" s="2">
        <f>ROUND(IF(1=1,IF(48&gt;0,1.5/(100+1.5)/48,1.5/(100+1.5)/50),1.5/(100+1.5)/50)*100,4)</f>
        <v>3.0800000000000001E-2</v>
      </c>
      <c r="S303">
        <v>50</v>
      </c>
      <c r="T303" s="2">
        <v>3.0800000000000001E-2</v>
      </c>
      <c r="U303" t="s">
        <v>28</v>
      </c>
      <c r="V303" t="s">
        <v>29</v>
      </c>
      <c r="W303">
        <v>0</v>
      </c>
      <c r="X303">
        <v>0</v>
      </c>
      <c r="Y303">
        <v>0</v>
      </c>
    </row>
    <row r="304" spans="1:25" x14ac:dyDescent="0.25">
      <c r="A304">
        <v>3</v>
      </c>
      <c r="B304" s="1">
        <v>1010</v>
      </c>
      <c r="C304" s="2" t="s">
        <v>36</v>
      </c>
      <c r="D304" s="2">
        <v>100000</v>
      </c>
      <c r="E304" s="2">
        <v>29600</v>
      </c>
      <c r="F304" s="1">
        <v>50</v>
      </c>
      <c r="G304" s="1">
        <v>44</v>
      </c>
      <c r="H304" s="2" t="s">
        <v>26</v>
      </c>
      <c r="J304" s="2" t="s">
        <v>26</v>
      </c>
      <c r="K304" s="2">
        <v>10000</v>
      </c>
      <c r="L304" s="2" t="s">
        <v>26</v>
      </c>
      <c r="M304" s="1">
        <v>2589</v>
      </c>
      <c r="N304" t="s">
        <v>27</v>
      </c>
      <c r="O304" s="5">
        <f>EDATE(O303,1)</f>
        <v>42036</v>
      </c>
      <c r="P304">
        <v>44</v>
      </c>
      <c r="Q304">
        <v>45</v>
      </c>
      <c r="R304" s="2">
        <f>ROUND(IF(1=1,IF(48&gt;0,1.5/(100+1.5)/48,1.5/(100+1.5)/50),1.5/(100+1.5)/50)*100,4)</f>
        <v>3.0800000000000001E-2</v>
      </c>
      <c r="S304">
        <v>50</v>
      </c>
      <c r="T304" s="2">
        <v>3.0800000000000001E-2</v>
      </c>
      <c r="U304" t="s">
        <v>28</v>
      </c>
      <c r="V304" t="s">
        <v>29</v>
      </c>
      <c r="W304">
        <v>0</v>
      </c>
      <c r="X304">
        <v>0</v>
      </c>
      <c r="Y304">
        <v>0</v>
      </c>
    </row>
    <row r="305" spans="1:25" x14ac:dyDescent="0.25">
      <c r="A305">
        <v>3</v>
      </c>
      <c r="B305" s="1">
        <v>1010</v>
      </c>
      <c r="C305" s="2" t="s">
        <v>36</v>
      </c>
      <c r="D305" s="2">
        <v>100000</v>
      </c>
      <c r="E305" s="2">
        <v>28000</v>
      </c>
      <c r="F305" s="1">
        <v>50</v>
      </c>
      <c r="G305" s="1">
        <v>45</v>
      </c>
      <c r="H305" s="2" t="s">
        <v>26</v>
      </c>
      <c r="J305" s="2" t="s">
        <v>26</v>
      </c>
      <c r="K305" s="2">
        <v>10000</v>
      </c>
      <c r="L305" s="2" t="s">
        <v>26</v>
      </c>
      <c r="M305" s="1">
        <v>2589</v>
      </c>
      <c r="N305" t="s">
        <v>27</v>
      </c>
      <c r="O305" s="5">
        <f>EDATE(O304,1)</f>
        <v>42064</v>
      </c>
      <c r="P305">
        <v>45</v>
      </c>
      <c r="Q305">
        <v>46</v>
      </c>
      <c r="R305" s="2">
        <f>ROUND(IF(1=1,IF(48&gt;0,1.5/(100+1.5)/48,1.5/(100+1.5)/50),1.5/(100+1.5)/50)*100,4)</f>
        <v>3.0800000000000001E-2</v>
      </c>
      <c r="S305">
        <v>50</v>
      </c>
      <c r="T305" s="2">
        <v>3.0800000000000001E-2</v>
      </c>
      <c r="U305" t="s">
        <v>28</v>
      </c>
      <c r="V305" t="s">
        <v>29</v>
      </c>
      <c r="W305">
        <v>0</v>
      </c>
      <c r="X305">
        <v>0</v>
      </c>
      <c r="Y305">
        <v>0</v>
      </c>
    </row>
    <row r="306" spans="1:25" x14ac:dyDescent="0.25">
      <c r="A306">
        <v>3</v>
      </c>
      <c r="B306" s="1">
        <v>1010</v>
      </c>
      <c r="C306" s="2" t="s">
        <v>36</v>
      </c>
      <c r="D306" s="2">
        <v>100000</v>
      </c>
      <c r="E306" s="2">
        <v>26400</v>
      </c>
      <c r="F306" s="1">
        <v>50</v>
      </c>
      <c r="G306" s="1">
        <v>46</v>
      </c>
      <c r="H306" s="2" t="s">
        <v>26</v>
      </c>
      <c r="J306" s="2" t="s">
        <v>26</v>
      </c>
      <c r="K306" s="2">
        <v>10000</v>
      </c>
      <c r="L306" s="2" t="s">
        <v>26</v>
      </c>
      <c r="M306" s="1">
        <v>2589</v>
      </c>
      <c r="N306" t="s">
        <v>27</v>
      </c>
      <c r="O306" s="5">
        <f>EDATE(O305,1)</f>
        <v>42095</v>
      </c>
      <c r="P306">
        <v>46</v>
      </c>
      <c r="Q306">
        <v>47</v>
      </c>
      <c r="R306" s="2">
        <f>ROUND(IF(1=1,IF(48&gt;0,1.5/(100+1.5)/48,1.5/(100+1.5)/50),1.5/(100+1.5)/50)*100,4)</f>
        <v>3.0800000000000001E-2</v>
      </c>
      <c r="S306">
        <v>50</v>
      </c>
      <c r="T306" s="2">
        <v>3.0800000000000001E-2</v>
      </c>
      <c r="U306" t="s">
        <v>28</v>
      </c>
      <c r="V306" t="s">
        <v>29</v>
      </c>
      <c r="W306">
        <v>0</v>
      </c>
      <c r="X306">
        <v>0</v>
      </c>
      <c r="Y306">
        <v>0</v>
      </c>
    </row>
    <row r="307" spans="1:25" x14ac:dyDescent="0.25">
      <c r="A307">
        <v>3</v>
      </c>
      <c r="B307" s="1">
        <v>1010</v>
      </c>
      <c r="C307" s="2" t="s">
        <v>36</v>
      </c>
      <c r="D307" s="2">
        <v>100000</v>
      </c>
      <c r="E307" s="2">
        <v>24800</v>
      </c>
      <c r="F307" s="1">
        <v>50</v>
      </c>
      <c r="G307" s="1">
        <v>47</v>
      </c>
      <c r="H307" s="2" t="s">
        <v>26</v>
      </c>
      <c r="J307" s="2" t="s">
        <v>26</v>
      </c>
      <c r="K307" s="2">
        <v>10000</v>
      </c>
      <c r="L307" s="2" t="s">
        <v>26</v>
      </c>
      <c r="M307" s="1">
        <v>2589</v>
      </c>
      <c r="N307" t="s">
        <v>27</v>
      </c>
      <c r="O307" s="5">
        <f>EDATE(O306,1)</f>
        <v>42125</v>
      </c>
      <c r="P307">
        <v>47</v>
      </c>
      <c r="Q307">
        <v>48</v>
      </c>
      <c r="R307" s="2">
        <f>ROUND(IF(1=1,IF(48&gt;0,1.5/(100+1.5)/48,1.5/(100+1.5)/50),1.5/(100+1.5)/50)*100,4)</f>
        <v>3.0800000000000001E-2</v>
      </c>
      <c r="S307">
        <v>50</v>
      </c>
      <c r="T307" s="2">
        <v>3.0800000000000001E-2</v>
      </c>
      <c r="U307" t="s">
        <v>28</v>
      </c>
      <c r="V307" t="s">
        <v>29</v>
      </c>
      <c r="W307">
        <v>0</v>
      </c>
      <c r="X307">
        <v>0</v>
      </c>
      <c r="Y307">
        <v>0</v>
      </c>
    </row>
    <row r="308" spans="1:25" x14ac:dyDescent="0.25">
      <c r="A308">
        <v>3</v>
      </c>
      <c r="B308" s="1">
        <v>1010</v>
      </c>
      <c r="C308" s="2" t="s">
        <v>36</v>
      </c>
      <c r="D308" s="2">
        <v>100000</v>
      </c>
      <c r="E308" s="2">
        <v>23200</v>
      </c>
      <c r="F308" s="1">
        <v>50</v>
      </c>
      <c r="G308" s="1">
        <v>48</v>
      </c>
      <c r="H308" s="2" t="s">
        <v>26</v>
      </c>
      <c r="J308" s="2" t="s">
        <v>26</v>
      </c>
      <c r="K308" s="2">
        <v>10000</v>
      </c>
      <c r="L308" s="2" t="s">
        <v>26</v>
      </c>
      <c r="M308" s="1">
        <v>2589</v>
      </c>
      <c r="N308" t="s">
        <v>27</v>
      </c>
      <c r="O308" s="5">
        <f>EDATE(O307,1)</f>
        <v>42156</v>
      </c>
      <c r="P308">
        <v>48</v>
      </c>
      <c r="Q308">
        <v>49</v>
      </c>
      <c r="R308" s="2">
        <f>ROUND(IF(1=1,IF(48&gt;0,1.5/(100+1.5)/48,1.5/(100+1.5)/50),1.5/(100+1.5)/50)*100,4)</f>
        <v>3.0800000000000001E-2</v>
      </c>
      <c r="S308">
        <v>50</v>
      </c>
      <c r="T308" s="2">
        <v>3.0800000000000001E-2</v>
      </c>
      <c r="U308" t="s">
        <v>28</v>
      </c>
      <c r="V308" t="s">
        <v>29</v>
      </c>
      <c r="W308">
        <v>0</v>
      </c>
      <c r="X308">
        <v>0</v>
      </c>
      <c r="Y308">
        <v>0</v>
      </c>
    </row>
    <row r="309" spans="1:25" x14ac:dyDescent="0.25">
      <c r="A309">
        <v>3</v>
      </c>
      <c r="B309" s="1">
        <v>1010</v>
      </c>
      <c r="C309" s="2" t="s">
        <v>36</v>
      </c>
      <c r="D309" s="2">
        <v>100000</v>
      </c>
      <c r="E309" s="2">
        <v>21600</v>
      </c>
      <c r="F309" s="1">
        <v>50</v>
      </c>
      <c r="G309" s="1">
        <v>49</v>
      </c>
      <c r="H309" s="2" t="s">
        <v>26</v>
      </c>
      <c r="J309" s="2" t="s">
        <v>26</v>
      </c>
      <c r="K309" s="2">
        <v>10000</v>
      </c>
      <c r="L309" s="2" t="s">
        <v>26</v>
      </c>
      <c r="M309" s="1">
        <v>2589</v>
      </c>
      <c r="N309" t="s">
        <v>27</v>
      </c>
      <c r="O309" s="5">
        <f>EDATE(O308,1)</f>
        <v>42186</v>
      </c>
      <c r="P309">
        <v>49</v>
      </c>
      <c r="Q309">
        <v>50</v>
      </c>
      <c r="R309" s="2">
        <f>ROUND(IF(1=1,IF(48&gt;0,1.5/(100+1.5)/48,1.5/(100+1.5)/50),1.5/(100+1.5)/50)*100,4)</f>
        <v>3.0800000000000001E-2</v>
      </c>
      <c r="S309">
        <v>50</v>
      </c>
      <c r="T309" s="2">
        <v>3.0800000000000001E-2</v>
      </c>
      <c r="U309" t="s">
        <v>28</v>
      </c>
      <c r="V309" t="s">
        <v>29</v>
      </c>
      <c r="W309">
        <v>0</v>
      </c>
      <c r="X309">
        <v>0</v>
      </c>
      <c r="Y309">
        <v>0</v>
      </c>
    </row>
    <row r="310" spans="1:25" x14ac:dyDescent="0.25">
      <c r="A310">
        <v>3</v>
      </c>
      <c r="B310" s="1">
        <v>1010</v>
      </c>
      <c r="C310" s="2" t="s">
        <v>36</v>
      </c>
      <c r="D310" s="2">
        <v>100000</v>
      </c>
      <c r="E310" s="2">
        <v>20000</v>
      </c>
      <c r="F310" s="1">
        <v>50</v>
      </c>
      <c r="G310" s="1">
        <v>50</v>
      </c>
      <c r="H310" s="2" t="s">
        <v>26</v>
      </c>
      <c r="J310" s="2" t="s">
        <v>26</v>
      </c>
      <c r="K310" s="2">
        <v>10000</v>
      </c>
      <c r="L310" s="2" t="s">
        <v>26</v>
      </c>
      <c r="M310" s="1">
        <v>2589</v>
      </c>
      <c r="N310" t="s">
        <v>27</v>
      </c>
      <c r="O310" s="5">
        <f>EDATE(O309,1)</f>
        <v>42217</v>
      </c>
      <c r="P310">
        <v>50</v>
      </c>
      <c r="Q310">
        <v>51</v>
      </c>
      <c r="R310" s="2">
        <f>ROUND(IF(1=1,IF(48&gt;0,1.5/(100+1.5)/48,1.5/(100+1.5)/50),1.5/(100+1.5)/50)*100,4)</f>
        <v>3.0800000000000001E-2</v>
      </c>
      <c r="S310">
        <v>50</v>
      </c>
      <c r="T310" s="2">
        <v>3.0800000000000001E-2</v>
      </c>
      <c r="U310" t="s">
        <v>28</v>
      </c>
      <c r="V310" t="s">
        <v>29</v>
      </c>
      <c r="W310">
        <v>0</v>
      </c>
      <c r="X310">
        <v>0</v>
      </c>
      <c r="Y310">
        <v>0</v>
      </c>
    </row>
    <row r="311" spans="1:25" x14ac:dyDescent="0.25">
      <c r="A311">
        <v>3</v>
      </c>
      <c r="B311" s="1">
        <v>1010</v>
      </c>
      <c r="C311" s="2" t="s">
        <v>36</v>
      </c>
      <c r="D311" s="2">
        <v>100000</v>
      </c>
      <c r="E311" s="2">
        <v>18400</v>
      </c>
      <c r="F311" s="1">
        <v>50</v>
      </c>
      <c r="G311" s="1">
        <v>51</v>
      </c>
      <c r="H311" s="2" t="s">
        <v>26</v>
      </c>
      <c r="J311" s="2" t="s">
        <v>26</v>
      </c>
      <c r="K311" s="2">
        <v>10000</v>
      </c>
      <c r="L311" s="2" t="s">
        <v>26</v>
      </c>
      <c r="M311" s="1">
        <v>2589</v>
      </c>
      <c r="N311" t="s">
        <v>27</v>
      </c>
      <c r="O311" s="5">
        <f>EDATE(O310,1)</f>
        <v>42248</v>
      </c>
      <c r="P311">
        <v>51</v>
      </c>
      <c r="Q311">
        <v>999</v>
      </c>
      <c r="S311">
        <v>50</v>
      </c>
      <c r="T311" s="2">
        <v>0</v>
      </c>
      <c r="U311" t="s">
        <v>28</v>
      </c>
      <c r="V311" t="s">
        <v>29</v>
      </c>
      <c r="W311">
        <v>0</v>
      </c>
      <c r="X311">
        <v>0</v>
      </c>
      <c r="Y311">
        <v>0</v>
      </c>
    </row>
    <row r="312" spans="1:25" x14ac:dyDescent="0.25">
      <c r="A312">
        <v>3</v>
      </c>
      <c r="B312" s="1">
        <v>1010</v>
      </c>
      <c r="C312" s="2" t="s">
        <v>36</v>
      </c>
      <c r="D312" s="2">
        <v>100000</v>
      </c>
      <c r="E312" s="2">
        <v>98400</v>
      </c>
      <c r="F312" s="1">
        <v>50</v>
      </c>
      <c r="G312" s="1">
        <v>1</v>
      </c>
      <c r="H312" s="2" t="s">
        <v>26</v>
      </c>
      <c r="J312" s="2" t="s">
        <v>26</v>
      </c>
      <c r="K312" s="2">
        <v>10000</v>
      </c>
      <c r="L312" s="2" t="s">
        <v>26</v>
      </c>
      <c r="M312" s="1">
        <v>2862</v>
      </c>
      <c r="N312" t="s">
        <v>30</v>
      </c>
      <c r="O312" s="5">
        <v>40725</v>
      </c>
      <c r="P312">
        <v>1</v>
      </c>
      <c r="Q312">
        <v>2</v>
      </c>
      <c r="R312" s="2">
        <f>PPMT((0.1/12),1,50,-100000,20000,0)</f>
        <v>1296.3104620901472</v>
      </c>
      <c r="S312">
        <v>50</v>
      </c>
      <c r="T312" s="2">
        <v>1296.3104620901472</v>
      </c>
      <c r="U312" t="s">
        <v>29</v>
      </c>
      <c r="V312" t="s">
        <v>29</v>
      </c>
      <c r="W312">
        <v>0</v>
      </c>
      <c r="X312">
        <v>0</v>
      </c>
      <c r="Y312">
        <v>0</v>
      </c>
    </row>
    <row r="313" spans="1:25" x14ac:dyDescent="0.25">
      <c r="A313">
        <v>3</v>
      </c>
      <c r="B313" s="1">
        <v>1010</v>
      </c>
      <c r="C313" s="2" t="s">
        <v>36</v>
      </c>
      <c r="D313" s="2">
        <v>100000</v>
      </c>
      <c r="E313" s="2">
        <v>96800</v>
      </c>
      <c r="F313" s="1">
        <v>50</v>
      </c>
      <c r="G313" s="1">
        <v>2</v>
      </c>
      <c r="H313" s="2" t="s">
        <v>26</v>
      </c>
      <c r="J313" s="2" t="s">
        <v>26</v>
      </c>
      <c r="K313" s="2">
        <v>10000</v>
      </c>
      <c r="L313" s="2" t="s">
        <v>26</v>
      </c>
      <c r="M313" s="1">
        <v>2862</v>
      </c>
      <c r="N313" t="s">
        <v>30</v>
      </c>
      <c r="O313" s="5">
        <f>EDATE(O312,1)</f>
        <v>40756</v>
      </c>
      <c r="P313">
        <v>2</v>
      </c>
      <c r="Q313">
        <v>3</v>
      </c>
      <c r="R313" s="2">
        <f>PPMT((0.1/12),2,50,-100000,20000,0)</f>
        <v>1307.1130492742316</v>
      </c>
      <c r="S313">
        <v>50</v>
      </c>
      <c r="T313" s="2">
        <v>1307.1130492742316</v>
      </c>
      <c r="U313" t="s">
        <v>29</v>
      </c>
      <c r="V313" t="s">
        <v>29</v>
      </c>
      <c r="W313">
        <v>0</v>
      </c>
      <c r="X313">
        <v>0</v>
      </c>
      <c r="Y313">
        <v>0</v>
      </c>
    </row>
    <row r="314" spans="1:25" x14ac:dyDescent="0.25">
      <c r="A314">
        <v>3</v>
      </c>
      <c r="B314" s="1">
        <v>1010</v>
      </c>
      <c r="C314" s="2" t="s">
        <v>36</v>
      </c>
      <c r="D314" s="2">
        <v>100000</v>
      </c>
      <c r="E314" s="2">
        <v>95200</v>
      </c>
      <c r="F314" s="1">
        <v>50</v>
      </c>
      <c r="G314" s="1">
        <v>3</v>
      </c>
      <c r="H314" s="2" t="s">
        <v>26</v>
      </c>
      <c r="J314" s="2" t="s">
        <v>26</v>
      </c>
      <c r="K314" s="2">
        <v>10000</v>
      </c>
      <c r="L314" s="2" t="s">
        <v>26</v>
      </c>
      <c r="M314" s="1">
        <v>2862</v>
      </c>
      <c r="N314" t="s">
        <v>30</v>
      </c>
      <c r="O314" s="5">
        <f>EDATE(O313,1)</f>
        <v>40787</v>
      </c>
      <c r="P314">
        <v>3</v>
      </c>
      <c r="Q314">
        <v>4</v>
      </c>
      <c r="R314" s="2">
        <f>PPMT((0.1/12),3,50,-100000,20000,0)</f>
        <v>1318.0056580181838</v>
      </c>
      <c r="S314">
        <v>50</v>
      </c>
      <c r="T314" s="2">
        <v>1318.0056580181838</v>
      </c>
      <c r="U314" t="s">
        <v>29</v>
      </c>
      <c r="V314" t="s">
        <v>29</v>
      </c>
      <c r="W314">
        <v>0</v>
      </c>
      <c r="X314">
        <v>0</v>
      </c>
      <c r="Y314">
        <v>0</v>
      </c>
    </row>
    <row r="315" spans="1:25" x14ac:dyDescent="0.25">
      <c r="A315">
        <v>3</v>
      </c>
      <c r="B315" s="1">
        <v>1010</v>
      </c>
      <c r="C315" s="2" t="s">
        <v>36</v>
      </c>
      <c r="D315" s="2">
        <v>100000</v>
      </c>
      <c r="E315" s="2">
        <v>93600</v>
      </c>
      <c r="F315" s="1">
        <v>50</v>
      </c>
      <c r="G315" s="1">
        <v>4</v>
      </c>
      <c r="H315" s="2" t="s">
        <v>26</v>
      </c>
      <c r="J315" s="2" t="s">
        <v>26</v>
      </c>
      <c r="K315" s="2">
        <v>10000</v>
      </c>
      <c r="L315" s="2" t="s">
        <v>26</v>
      </c>
      <c r="M315" s="1">
        <v>2862</v>
      </c>
      <c r="N315" t="s">
        <v>30</v>
      </c>
      <c r="O315" s="5">
        <f>EDATE(O314,1)</f>
        <v>40817</v>
      </c>
      <c r="P315">
        <v>4</v>
      </c>
      <c r="Q315">
        <v>5</v>
      </c>
      <c r="R315" s="2">
        <f>PPMT((0.1/12),4,50,-100000,20000,0)</f>
        <v>1328.9890385016686</v>
      </c>
      <c r="S315">
        <v>50</v>
      </c>
      <c r="T315" s="2">
        <v>1328.9890385016686</v>
      </c>
      <c r="U315" t="s">
        <v>29</v>
      </c>
      <c r="V315" t="s">
        <v>29</v>
      </c>
      <c r="W315">
        <v>0</v>
      </c>
      <c r="X315">
        <v>0</v>
      </c>
      <c r="Y315">
        <v>0</v>
      </c>
    </row>
    <row r="316" spans="1:25" x14ac:dyDescent="0.25">
      <c r="A316">
        <v>3</v>
      </c>
      <c r="B316" s="1">
        <v>1010</v>
      </c>
      <c r="C316" s="2" t="s">
        <v>36</v>
      </c>
      <c r="D316" s="2">
        <v>100000</v>
      </c>
      <c r="E316" s="2">
        <v>92000</v>
      </c>
      <c r="F316" s="1">
        <v>50</v>
      </c>
      <c r="G316" s="1">
        <v>5</v>
      </c>
      <c r="H316" s="2" t="s">
        <v>26</v>
      </c>
      <c r="J316" s="2" t="s">
        <v>26</v>
      </c>
      <c r="K316" s="2">
        <v>10000</v>
      </c>
      <c r="L316" s="2" t="s">
        <v>26</v>
      </c>
      <c r="M316" s="1">
        <v>2862</v>
      </c>
      <c r="N316" t="s">
        <v>30</v>
      </c>
      <c r="O316" s="5">
        <f>EDATE(O315,1)</f>
        <v>40848</v>
      </c>
      <c r="P316">
        <v>5</v>
      </c>
      <c r="Q316">
        <v>6</v>
      </c>
      <c r="R316" s="2">
        <f>PPMT((0.1/12),5,50,-100000,20000,0)</f>
        <v>1340.0639471558491</v>
      </c>
      <c r="S316">
        <v>50</v>
      </c>
      <c r="T316" s="2">
        <v>1340.0639471558491</v>
      </c>
      <c r="U316" t="s">
        <v>29</v>
      </c>
      <c r="V316" t="s">
        <v>29</v>
      </c>
      <c r="W316">
        <v>0</v>
      </c>
      <c r="X316">
        <v>0</v>
      </c>
      <c r="Y316">
        <v>0</v>
      </c>
    </row>
    <row r="317" spans="1:25" x14ac:dyDescent="0.25">
      <c r="A317">
        <v>3</v>
      </c>
      <c r="B317" s="1">
        <v>1010</v>
      </c>
      <c r="C317" s="2" t="s">
        <v>36</v>
      </c>
      <c r="D317" s="2">
        <v>100000</v>
      </c>
      <c r="E317" s="2">
        <v>90400</v>
      </c>
      <c r="F317" s="1">
        <v>50</v>
      </c>
      <c r="G317" s="1">
        <v>6</v>
      </c>
      <c r="H317" s="2" t="s">
        <v>26</v>
      </c>
      <c r="J317" s="2" t="s">
        <v>26</v>
      </c>
      <c r="K317" s="2">
        <v>10000</v>
      </c>
      <c r="L317" s="2" t="s">
        <v>26</v>
      </c>
      <c r="M317" s="1">
        <v>2862</v>
      </c>
      <c r="N317" t="s">
        <v>30</v>
      </c>
      <c r="O317" s="5">
        <f>EDATE(O316,1)</f>
        <v>40878</v>
      </c>
      <c r="P317">
        <v>6</v>
      </c>
      <c r="Q317">
        <v>7</v>
      </c>
      <c r="R317" s="2">
        <f>PPMT((0.1/12),6,50,-100000,20000,0)</f>
        <v>1351.2311467154811</v>
      </c>
      <c r="S317">
        <v>50</v>
      </c>
      <c r="T317" s="2">
        <v>1351.2311467154811</v>
      </c>
      <c r="U317" t="s">
        <v>29</v>
      </c>
      <c r="V317" t="s">
        <v>29</v>
      </c>
      <c r="W317">
        <v>0</v>
      </c>
      <c r="X317">
        <v>0</v>
      </c>
      <c r="Y317">
        <v>0</v>
      </c>
    </row>
    <row r="318" spans="1:25" x14ac:dyDescent="0.25">
      <c r="A318">
        <v>3</v>
      </c>
      <c r="B318" s="1">
        <v>1010</v>
      </c>
      <c r="C318" s="2" t="s">
        <v>36</v>
      </c>
      <c r="D318" s="2">
        <v>100000</v>
      </c>
      <c r="E318" s="2">
        <v>88800</v>
      </c>
      <c r="F318" s="1">
        <v>50</v>
      </c>
      <c r="G318" s="1">
        <v>7</v>
      </c>
      <c r="H318" s="2" t="s">
        <v>26</v>
      </c>
      <c r="J318" s="2" t="s">
        <v>26</v>
      </c>
      <c r="K318" s="2">
        <v>10000</v>
      </c>
      <c r="L318" s="2" t="s">
        <v>26</v>
      </c>
      <c r="M318" s="1">
        <v>2862</v>
      </c>
      <c r="N318" t="s">
        <v>30</v>
      </c>
      <c r="O318" s="5">
        <f>EDATE(O317,1)</f>
        <v>40909</v>
      </c>
      <c r="P318">
        <v>7</v>
      </c>
      <c r="Q318">
        <v>8</v>
      </c>
      <c r="R318" s="2">
        <f>PPMT((0.1/12),7,50,-100000,20000,0)</f>
        <v>1362.4914062714433</v>
      </c>
      <c r="S318">
        <v>50</v>
      </c>
      <c r="T318" s="2">
        <v>1362.4914062714433</v>
      </c>
      <c r="U318" t="s">
        <v>29</v>
      </c>
      <c r="V318" t="s">
        <v>29</v>
      </c>
      <c r="W318">
        <v>0</v>
      </c>
      <c r="X318">
        <v>0</v>
      </c>
      <c r="Y318">
        <v>0</v>
      </c>
    </row>
    <row r="319" spans="1:25" x14ac:dyDescent="0.25">
      <c r="A319">
        <v>3</v>
      </c>
      <c r="B319" s="1">
        <v>1010</v>
      </c>
      <c r="C319" s="2" t="s">
        <v>36</v>
      </c>
      <c r="D319" s="2">
        <v>100000</v>
      </c>
      <c r="E319" s="2">
        <v>87200</v>
      </c>
      <c r="F319" s="1">
        <v>50</v>
      </c>
      <c r="G319" s="1">
        <v>8</v>
      </c>
      <c r="H319" s="2" t="s">
        <v>26</v>
      </c>
      <c r="J319" s="2" t="s">
        <v>26</v>
      </c>
      <c r="K319" s="2">
        <v>10000</v>
      </c>
      <c r="L319" s="2" t="s">
        <v>26</v>
      </c>
      <c r="M319" s="1">
        <v>2862</v>
      </c>
      <c r="N319" t="s">
        <v>30</v>
      </c>
      <c r="O319" s="5">
        <f>EDATE(O318,1)</f>
        <v>40940</v>
      </c>
      <c r="P319">
        <v>8</v>
      </c>
      <c r="Q319">
        <v>9</v>
      </c>
      <c r="R319" s="2">
        <f>PPMT((0.1/12),8,50,-100000,20000,0)</f>
        <v>1373.8455013237058</v>
      </c>
      <c r="S319">
        <v>50</v>
      </c>
      <c r="T319" s="2">
        <v>1373.8455013237058</v>
      </c>
      <c r="U319" t="s">
        <v>29</v>
      </c>
      <c r="V319" t="s">
        <v>29</v>
      </c>
      <c r="W319">
        <v>0</v>
      </c>
      <c r="X319">
        <v>0</v>
      </c>
      <c r="Y319">
        <v>0</v>
      </c>
    </row>
    <row r="320" spans="1:25" x14ac:dyDescent="0.25">
      <c r="A320">
        <v>3</v>
      </c>
      <c r="B320" s="1">
        <v>1010</v>
      </c>
      <c r="C320" s="2" t="s">
        <v>36</v>
      </c>
      <c r="D320" s="2">
        <v>100000</v>
      </c>
      <c r="E320" s="2">
        <v>85600</v>
      </c>
      <c r="F320" s="1">
        <v>50</v>
      </c>
      <c r="G320" s="1">
        <v>9</v>
      </c>
      <c r="H320" s="2" t="s">
        <v>26</v>
      </c>
      <c r="J320" s="2" t="s">
        <v>26</v>
      </c>
      <c r="K320" s="2">
        <v>10000</v>
      </c>
      <c r="L320" s="2" t="s">
        <v>26</v>
      </c>
      <c r="M320" s="1">
        <v>2862</v>
      </c>
      <c r="N320" t="s">
        <v>30</v>
      </c>
      <c r="O320" s="5">
        <f>EDATE(O319,1)</f>
        <v>40969</v>
      </c>
      <c r="P320">
        <v>9</v>
      </c>
      <c r="Q320">
        <v>10</v>
      </c>
      <c r="R320" s="2">
        <f>PPMT((0.1/12),9,50,-100000,20000,0)</f>
        <v>1385.2942138347364</v>
      </c>
      <c r="S320">
        <v>50</v>
      </c>
      <c r="T320" s="2">
        <v>1385.2942138347364</v>
      </c>
      <c r="U320" t="s">
        <v>29</v>
      </c>
      <c r="V320" t="s">
        <v>29</v>
      </c>
      <c r="W320">
        <v>0</v>
      </c>
      <c r="X320">
        <v>0</v>
      </c>
      <c r="Y320">
        <v>0</v>
      </c>
    </row>
    <row r="321" spans="1:25" x14ac:dyDescent="0.25">
      <c r="A321">
        <v>3</v>
      </c>
      <c r="B321" s="1">
        <v>1010</v>
      </c>
      <c r="C321" s="2" t="s">
        <v>36</v>
      </c>
      <c r="D321" s="2">
        <v>100000</v>
      </c>
      <c r="E321" s="2">
        <v>84000</v>
      </c>
      <c r="F321" s="1">
        <v>50</v>
      </c>
      <c r="G321" s="1">
        <v>10</v>
      </c>
      <c r="H321" s="2" t="s">
        <v>26</v>
      </c>
      <c r="J321" s="2" t="s">
        <v>26</v>
      </c>
      <c r="K321" s="2">
        <v>10000</v>
      </c>
      <c r="L321" s="2" t="s">
        <v>26</v>
      </c>
      <c r="M321" s="1">
        <v>2862</v>
      </c>
      <c r="N321" t="s">
        <v>30</v>
      </c>
      <c r="O321" s="5">
        <f>EDATE(O320,1)</f>
        <v>41000</v>
      </c>
      <c r="P321">
        <v>10</v>
      </c>
      <c r="Q321">
        <v>11</v>
      </c>
      <c r="R321" s="2">
        <f>PPMT((0.1/12),10,50,-100000,20000,0)</f>
        <v>1396.838332283359</v>
      </c>
      <c r="S321">
        <v>50</v>
      </c>
      <c r="T321" s="2">
        <v>1396.838332283359</v>
      </c>
      <c r="U321" t="s">
        <v>29</v>
      </c>
      <c r="V321" t="s">
        <v>29</v>
      </c>
      <c r="W321">
        <v>0</v>
      </c>
      <c r="X321">
        <v>0</v>
      </c>
      <c r="Y321">
        <v>0</v>
      </c>
    </row>
    <row r="322" spans="1:25" x14ac:dyDescent="0.25">
      <c r="A322">
        <v>3</v>
      </c>
      <c r="B322" s="1">
        <v>1010</v>
      </c>
      <c r="C322" s="2" t="s">
        <v>36</v>
      </c>
      <c r="D322" s="2">
        <v>100000</v>
      </c>
      <c r="E322" s="2">
        <v>82400</v>
      </c>
      <c r="F322" s="1">
        <v>50</v>
      </c>
      <c r="G322" s="1">
        <v>11</v>
      </c>
      <c r="H322" s="2" t="s">
        <v>26</v>
      </c>
      <c r="J322" s="2" t="s">
        <v>26</v>
      </c>
      <c r="K322" s="2">
        <v>10000</v>
      </c>
      <c r="L322" s="2" t="s">
        <v>26</v>
      </c>
      <c r="M322" s="1">
        <v>2862</v>
      </c>
      <c r="N322" t="s">
        <v>30</v>
      </c>
      <c r="O322" s="5">
        <f>EDATE(O321,1)</f>
        <v>41030</v>
      </c>
      <c r="P322">
        <v>11</v>
      </c>
      <c r="Q322">
        <v>12</v>
      </c>
      <c r="R322" s="2">
        <f>PPMT((0.1/12),11,50,-100000,20000,0)</f>
        <v>1408.4786517190539</v>
      </c>
      <c r="S322">
        <v>50</v>
      </c>
      <c r="T322" s="2">
        <v>1408.4786517190539</v>
      </c>
      <c r="U322" t="s">
        <v>29</v>
      </c>
      <c r="V322" t="s">
        <v>29</v>
      </c>
      <c r="W322">
        <v>0</v>
      </c>
      <c r="X322">
        <v>0</v>
      </c>
      <c r="Y322">
        <v>0</v>
      </c>
    </row>
    <row r="323" spans="1:25" x14ac:dyDescent="0.25">
      <c r="A323">
        <v>3</v>
      </c>
      <c r="B323" s="1">
        <v>1010</v>
      </c>
      <c r="C323" s="2" t="s">
        <v>36</v>
      </c>
      <c r="D323" s="2">
        <v>100000</v>
      </c>
      <c r="E323" s="2">
        <v>80800</v>
      </c>
      <c r="F323" s="1">
        <v>50</v>
      </c>
      <c r="G323" s="1">
        <v>12</v>
      </c>
      <c r="H323" s="2" t="s">
        <v>26</v>
      </c>
      <c r="J323" s="2" t="s">
        <v>26</v>
      </c>
      <c r="K323" s="2">
        <v>10000</v>
      </c>
      <c r="L323" s="2" t="s">
        <v>26</v>
      </c>
      <c r="M323" s="1">
        <v>2862</v>
      </c>
      <c r="N323" t="s">
        <v>30</v>
      </c>
      <c r="O323" s="5">
        <f>EDATE(O322,1)</f>
        <v>41061</v>
      </c>
      <c r="P323">
        <v>12</v>
      </c>
      <c r="Q323">
        <v>13</v>
      </c>
      <c r="R323" s="2">
        <f>PPMT((0.1/12),12,50,-100000,20000,0)</f>
        <v>1420.2159738167129</v>
      </c>
      <c r="S323">
        <v>50</v>
      </c>
      <c r="T323" s="2">
        <v>1420.2159738167129</v>
      </c>
      <c r="U323" t="s">
        <v>29</v>
      </c>
      <c r="V323" t="s">
        <v>29</v>
      </c>
      <c r="W323">
        <v>0</v>
      </c>
      <c r="X323">
        <v>0</v>
      </c>
      <c r="Y323">
        <v>0</v>
      </c>
    </row>
    <row r="324" spans="1:25" x14ac:dyDescent="0.25">
      <c r="A324">
        <v>3</v>
      </c>
      <c r="B324" s="1">
        <v>1010</v>
      </c>
      <c r="C324" s="2" t="s">
        <v>36</v>
      </c>
      <c r="D324" s="2">
        <v>100000</v>
      </c>
      <c r="E324" s="2">
        <v>79200</v>
      </c>
      <c r="F324" s="1">
        <v>50</v>
      </c>
      <c r="G324" s="1">
        <v>13</v>
      </c>
      <c r="H324" s="2" t="s">
        <v>26</v>
      </c>
      <c r="J324" s="2" t="s">
        <v>26</v>
      </c>
      <c r="K324" s="2">
        <v>10000</v>
      </c>
      <c r="L324" s="2" t="s">
        <v>26</v>
      </c>
      <c r="M324" s="1">
        <v>2862</v>
      </c>
      <c r="N324" t="s">
        <v>30</v>
      </c>
      <c r="O324" s="5">
        <f>EDATE(O323,1)</f>
        <v>41091</v>
      </c>
      <c r="P324">
        <v>13</v>
      </c>
      <c r="Q324">
        <v>14</v>
      </c>
      <c r="R324" s="2">
        <f>PPMT((0.1/12),13,50,-100000,20000,0)</f>
        <v>1432.051106931852</v>
      </c>
      <c r="S324">
        <v>50</v>
      </c>
      <c r="T324" s="2">
        <v>1432.051106931852</v>
      </c>
      <c r="U324" t="s">
        <v>29</v>
      </c>
      <c r="V324" t="s">
        <v>29</v>
      </c>
      <c r="W324">
        <v>0</v>
      </c>
      <c r="X324">
        <v>0</v>
      </c>
      <c r="Y324">
        <v>0</v>
      </c>
    </row>
    <row r="325" spans="1:25" x14ac:dyDescent="0.25">
      <c r="A325">
        <v>3</v>
      </c>
      <c r="B325" s="1">
        <v>1010</v>
      </c>
      <c r="C325" s="2" t="s">
        <v>36</v>
      </c>
      <c r="D325" s="2">
        <v>100000</v>
      </c>
      <c r="E325" s="2">
        <v>77600</v>
      </c>
      <c r="F325" s="1">
        <v>50</v>
      </c>
      <c r="G325" s="1">
        <v>14</v>
      </c>
      <c r="H325" s="2" t="s">
        <v>26</v>
      </c>
      <c r="J325" s="2" t="s">
        <v>26</v>
      </c>
      <c r="K325" s="2">
        <v>10000</v>
      </c>
      <c r="L325" s="2" t="s">
        <v>26</v>
      </c>
      <c r="M325" s="1">
        <v>2862</v>
      </c>
      <c r="N325" t="s">
        <v>30</v>
      </c>
      <c r="O325" s="5">
        <f>EDATE(O324,1)</f>
        <v>41122</v>
      </c>
      <c r="P325">
        <v>14</v>
      </c>
      <c r="Q325">
        <v>15</v>
      </c>
      <c r="R325" s="2">
        <f>PPMT((0.1/12),14,50,-100000,20000,0)</f>
        <v>1443.9848661562839</v>
      </c>
      <c r="S325">
        <v>50</v>
      </c>
      <c r="T325" s="2">
        <v>1443.9848661562839</v>
      </c>
      <c r="U325" t="s">
        <v>29</v>
      </c>
      <c r="V325" t="s">
        <v>29</v>
      </c>
      <c r="W325">
        <v>0</v>
      </c>
      <c r="X325">
        <v>0</v>
      </c>
      <c r="Y325">
        <v>0</v>
      </c>
    </row>
    <row r="326" spans="1:25" x14ac:dyDescent="0.25">
      <c r="A326">
        <v>3</v>
      </c>
      <c r="B326" s="1">
        <v>1010</v>
      </c>
      <c r="C326" s="2" t="s">
        <v>36</v>
      </c>
      <c r="D326" s="2">
        <v>100000</v>
      </c>
      <c r="E326" s="2">
        <v>76000</v>
      </c>
      <c r="F326" s="1">
        <v>50</v>
      </c>
      <c r="G326" s="1">
        <v>15</v>
      </c>
      <c r="H326" s="2" t="s">
        <v>26</v>
      </c>
      <c r="J326" s="2" t="s">
        <v>26</v>
      </c>
      <c r="K326" s="2">
        <v>10000</v>
      </c>
      <c r="L326" s="2" t="s">
        <v>26</v>
      </c>
      <c r="M326" s="1">
        <v>2862</v>
      </c>
      <c r="N326" t="s">
        <v>30</v>
      </c>
      <c r="O326" s="5">
        <f>EDATE(O325,1)</f>
        <v>41153</v>
      </c>
      <c r="P326">
        <v>15</v>
      </c>
      <c r="Q326">
        <v>16</v>
      </c>
      <c r="R326" s="2">
        <f>PPMT((0.1/12),15,50,-100000,20000,0)</f>
        <v>1456.0180733742532</v>
      </c>
      <c r="S326">
        <v>50</v>
      </c>
      <c r="T326" s="2">
        <v>1456.0180733742532</v>
      </c>
      <c r="U326" t="s">
        <v>29</v>
      </c>
      <c r="V326" t="s">
        <v>29</v>
      </c>
      <c r="W326">
        <v>0</v>
      </c>
      <c r="X326">
        <v>0</v>
      </c>
      <c r="Y326">
        <v>0</v>
      </c>
    </row>
    <row r="327" spans="1:25" x14ac:dyDescent="0.25">
      <c r="A327">
        <v>3</v>
      </c>
      <c r="B327" s="1">
        <v>1010</v>
      </c>
      <c r="C327" s="2" t="s">
        <v>36</v>
      </c>
      <c r="D327" s="2">
        <v>100000</v>
      </c>
      <c r="E327" s="2">
        <v>74400</v>
      </c>
      <c r="F327" s="1">
        <v>50</v>
      </c>
      <c r="G327" s="1">
        <v>16</v>
      </c>
      <c r="H327" s="2" t="s">
        <v>26</v>
      </c>
      <c r="J327" s="2" t="s">
        <v>26</v>
      </c>
      <c r="K327" s="2">
        <v>10000</v>
      </c>
      <c r="L327" s="2" t="s">
        <v>26</v>
      </c>
      <c r="M327" s="1">
        <v>2862</v>
      </c>
      <c r="N327" t="s">
        <v>30</v>
      </c>
      <c r="O327" s="5">
        <f>EDATE(O326,1)</f>
        <v>41183</v>
      </c>
      <c r="P327">
        <v>16</v>
      </c>
      <c r="Q327">
        <v>17</v>
      </c>
      <c r="R327" s="2">
        <f>PPMT((0.1/12),16,50,-100000,20000,0)</f>
        <v>1468.1515573190384</v>
      </c>
      <c r="S327">
        <v>50</v>
      </c>
      <c r="T327" s="2">
        <v>1468.1515573190384</v>
      </c>
      <c r="U327" t="s">
        <v>29</v>
      </c>
      <c r="V327" t="s">
        <v>29</v>
      </c>
      <c r="W327">
        <v>0</v>
      </c>
      <c r="X327">
        <v>0</v>
      </c>
      <c r="Y327">
        <v>0</v>
      </c>
    </row>
    <row r="328" spans="1:25" x14ac:dyDescent="0.25">
      <c r="A328">
        <v>3</v>
      </c>
      <c r="B328" s="1">
        <v>1010</v>
      </c>
      <c r="C328" s="2" t="s">
        <v>36</v>
      </c>
      <c r="D328" s="2">
        <v>100000</v>
      </c>
      <c r="E328" s="2">
        <v>72800</v>
      </c>
      <c r="F328" s="1">
        <v>50</v>
      </c>
      <c r="G328" s="1">
        <v>17</v>
      </c>
      <c r="H328" s="2" t="s">
        <v>26</v>
      </c>
      <c r="J328" s="2" t="s">
        <v>26</v>
      </c>
      <c r="K328" s="2">
        <v>10000</v>
      </c>
      <c r="L328" s="2" t="s">
        <v>26</v>
      </c>
      <c r="M328" s="1">
        <v>2862</v>
      </c>
      <c r="N328" t="s">
        <v>30</v>
      </c>
      <c r="O328" s="5">
        <f>EDATE(O327,1)</f>
        <v>41214</v>
      </c>
      <c r="P328">
        <v>17</v>
      </c>
      <c r="Q328">
        <v>18</v>
      </c>
      <c r="R328" s="2">
        <f>PPMT((0.1/12),17,50,-100000,20000,0)</f>
        <v>1480.3861536300305</v>
      </c>
      <c r="S328">
        <v>50</v>
      </c>
      <c r="T328" s="2">
        <v>1480.3861536300305</v>
      </c>
      <c r="U328" t="s">
        <v>29</v>
      </c>
      <c r="V328" t="s">
        <v>29</v>
      </c>
      <c r="W328">
        <v>0</v>
      </c>
      <c r="X328">
        <v>0</v>
      </c>
      <c r="Y328">
        <v>0</v>
      </c>
    </row>
    <row r="329" spans="1:25" x14ac:dyDescent="0.25">
      <c r="A329">
        <v>3</v>
      </c>
      <c r="B329" s="1">
        <v>1010</v>
      </c>
      <c r="C329" s="2" t="s">
        <v>36</v>
      </c>
      <c r="D329" s="2">
        <v>100000</v>
      </c>
      <c r="E329" s="2">
        <v>71200</v>
      </c>
      <c r="F329" s="1">
        <v>50</v>
      </c>
      <c r="G329" s="1">
        <v>18</v>
      </c>
      <c r="H329" s="2" t="s">
        <v>26</v>
      </c>
      <c r="J329" s="2" t="s">
        <v>26</v>
      </c>
      <c r="K329" s="2">
        <v>10000</v>
      </c>
      <c r="L329" s="2" t="s">
        <v>26</v>
      </c>
      <c r="M329" s="1">
        <v>2862</v>
      </c>
      <c r="N329" t="s">
        <v>30</v>
      </c>
      <c r="O329" s="5">
        <f>EDATE(O328,1)</f>
        <v>41244</v>
      </c>
      <c r="P329">
        <v>18</v>
      </c>
      <c r="Q329">
        <v>19</v>
      </c>
      <c r="R329" s="2">
        <f>PPMT((0.1/12),18,50,-100000,20000,0)</f>
        <v>1492.7227049102808</v>
      </c>
      <c r="S329">
        <v>50</v>
      </c>
      <c r="T329" s="2">
        <v>1492.7227049102808</v>
      </c>
      <c r="U329" t="s">
        <v>29</v>
      </c>
      <c r="V329" t="s">
        <v>29</v>
      </c>
      <c r="W329">
        <v>0</v>
      </c>
      <c r="X329">
        <v>0</v>
      </c>
      <c r="Y329">
        <v>0</v>
      </c>
    </row>
    <row r="330" spans="1:25" x14ac:dyDescent="0.25">
      <c r="A330">
        <v>3</v>
      </c>
      <c r="B330" s="1">
        <v>1010</v>
      </c>
      <c r="C330" s="2" t="s">
        <v>36</v>
      </c>
      <c r="D330" s="2">
        <v>100000</v>
      </c>
      <c r="E330" s="2">
        <v>69600</v>
      </c>
      <c r="F330" s="1">
        <v>50</v>
      </c>
      <c r="G330" s="1">
        <v>19</v>
      </c>
      <c r="H330" s="2" t="s">
        <v>26</v>
      </c>
      <c r="J330" s="2" t="s">
        <v>26</v>
      </c>
      <c r="K330" s="2">
        <v>10000</v>
      </c>
      <c r="L330" s="2" t="s">
        <v>26</v>
      </c>
      <c r="M330" s="1">
        <v>2862</v>
      </c>
      <c r="N330" t="s">
        <v>30</v>
      </c>
      <c r="O330" s="5">
        <f>EDATE(O329,1)</f>
        <v>41275</v>
      </c>
      <c r="P330">
        <v>19</v>
      </c>
      <c r="Q330">
        <v>20</v>
      </c>
      <c r="R330" s="2">
        <f>PPMT((0.1/12),19,50,-100000,20000,0)</f>
        <v>1505.162060784533</v>
      </c>
      <c r="S330">
        <v>50</v>
      </c>
      <c r="T330" s="2">
        <v>1505.162060784533</v>
      </c>
      <c r="U330" t="s">
        <v>29</v>
      </c>
      <c r="V330" t="s">
        <v>29</v>
      </c>
      <c r="W330">
        <v>0</v>
      </c>
      <c r="X330">
        <v>0</v>
      </c>
      <c r="Y330">
        <v>0</v>
      </c>
    </row>
    <row r="331" spans="1:25" x14ac:dyDescent="0.25">
      <c r="A331">
        <v>3</v>
      </c>
      <c r="B331" s="1">
        <v>1010</v>
      </c>
      <c r="C331" s="2" t="s">
        <v>36</v>
      </c>
      <c r="D331" s="2">
        <v>100000</v>
      </c>
      <c r="E331" s="2">
        <v>68000</v>
      </c>
      <c r="F331" s="1">
        <v>50</v>
      </c>
      <c r="G331" s="1">
        <v>20</v>
      </c>
      <c r="H331" s="2" t="s">
        <v>26</v>
      </c>
      <c r="J331" s="2" t="s">
        <v>26</v>
      </c>
      <c r="K331" s="2">
        <v>10000</v>
      </c>
      <c r="L331" s="2" t="s">
        <v>26</v>
      </c>
      <c r="M331" s="1">
        <v>2862</v>
      </c>
      <c r="N331" t="s">
        <v>30</v>
      </c>
      <c r="O331" s="5">
        <f>EDATE(O330,1)</f>
        <v>41306</v>
      </c>
      <c r="P331">
        <v>20</v>
      </c>
      <c r="Q331">
        <v>21</v>
      </c>
      <c r="R331" s="2">
        <f>PPMT((0.1/12),20,50,-100000,20000,0)</f>
        <v>1517.7050779577376</v>
      </c>
      <c r="S331">
        <v>50</v>
      </c>
      <c r="T331" s="2">
        <v>1517.7050779577376</v>
      </c>
      <c r="U331" t="s">
        <v>29</v>
      </c>
      <c r="V331" t="s">
        <v>29</v>
      </c>
      <c r="W331">
        <v>0</v>
      </c>
      <c r="X331">
        <v>0</v>
      </c>
      <c r="Y331">
        <v>0</v>
      </c>
    </row>
    <row r="332" spans="1:25" x14ac:dyDescent="0.25">
      <c r="A332">
        <v>3</v>
      </c>
      <c r="B332" s="1">
        <v>1010</v>
      </c>
      <c r="C332" s="2" t="s">
        <v>36</v>
      </c>
      <c r="D332" s="2">
        <v>100000</v>
      </c>
      <c r="E332" s="2">
        <v>66400</v>
      </c>
      <c r="F332" s="1">
        <v>50</v>
      </c>
      <c r="G332" s="1">
        <v>21</v>
      </c>
      <c r="H332" s="2" t="s">
        <v>26</v>
      </c>
      <c r="J332" s="2" t="s">
        <v>26</v>
      </c>
      <c r="K332" s="2">
        <v>10000</v>
      </c>
      <c r="L332" s="2" t="s">
        <v>26</v>
      </c>
      <c r="M332" s="1">
        <v>2862</v>
      </c>
      <c r="N332" t="s">
        <v>30</v>
      </c>
      <c r="O332" s="5">
        <f>EDATE(O331,1)</f>
        <v>41334</v>
      </c>
      <c r="P332">
        <v>21</v>
      </c>
      <c r="Q332">
        <v>22</v>
      </c>
      <c r="R332" s="2">
        <f>PPMT((0.1/12),21,50,-100000,20000,0)</f>
        <v>1530.352620274052</v>
      </c>
      <c r="S332">
        <v>50</v>
      </c>
      <c r="T332" s="2">
        <v>1530.352620274052</v>
      </c>
      <c r="U332" t="s">
        <v>29</v>
      </c>
      <c r="V332" t="s">
        <v>29</v>
      </c>
      <c r="W332">
        <v>0</v>
      </c>
      <c r="X332">
        <v>0</v>
      </c>
      <c r="Y332">
        <v>0</v>
      </c>
    </row>
    <row r="333" spans="1:25" x14ac:dyDescent="0.25">
      <c r="A333">
        <v>3</v>
      </c>
      <c r="B333" s="1">
        <v>1010</v>
      </c>
      <c r="C333" s="2" t="s">
        <v>36</v>
      </c>
      <c r="D333" s="2">
        <v>100000</v>
      </c>
      <c r="E333" s="2">
        <v>64800</v>
      </c>
      <c r="F333" s="1">
        <v>50</v>
      </c>
      <c r="G333" s="1">
        <v>22</v>
      </c>
      <c r="H333" s="2" t="s">
        <v>26</v>
      </c>
      <c r="J333" s="2" t="s">
        <v>26</v>
      </c>
      <c r="K333" s="2">
        <v>10000</v>
      </c>
      <c r="L333" s="2" t="s">
        <v>26</v>
      </c>
      <c r="M333" s="1">
        <v>2862</v>
      </c>
      <c r="N333" t="s">
        <v>30</v>
      </c>
      <c r="O333" s="5">
        <f>EDATE(O332,1)</f>
        <v>41365</v>
      </c>
      <c r="P333">
        <v>22</v>
      </c>
      <c r="Q333">
        <v>23</v>
      </c>
      <c r="R333" s="2">
        <f>PPMT((0.1/12),22,50,-100000,20000,0)</f>
        <v>1543.1055587763358</v>
      </c>
      <c r="S333">
        <v>50</v>
      </c>
      <c r="T333" s="2">
        <v>1543.1055587763358</v>
      </c>
      <c r="U333" t="s">
        <v>29</v>
      </c>
      <c r="V333" t="s">
        <v>29</v>
      </c>
      <c r="W333">
        <v>0</v>
      </c>
      <c r="X333">
        <v>0</v>
      </c>
      <c r="Y333">
        <v>0</v>
      </c>
    </row>
    <row r="334" spans="1:25" x14ac:dyDescent="0.25">
      <c r="A334">
        <v>3</v>
      </c>
      <c r="B334" s="1">
        <v>1010</v>
      </c>
      <c r="C334" s="2" t="s">
        <v>36</v>
      </c>
      <c r="D334" s="2">
        <v>100000</v>
      </c>
      <c r="E334" s="2">
        <v>63200</v>
      </c>
      <c r="F334" s="1">
        <v>50</v>
      </c>
      <c r="G334" s="1">
        <v>23</v>
      </c>
      <c r="H334" s="2" t="s">
        <v>26</v>
      </c>
      <c r="J334" s="2" t="s">
        <v>26</v>
      </c>
      <c r="K334" s="2">
        <v>10000</v>
      </c>
      <c r="L334" s="2" t="s">
        <v>26</v>
      </c>
      <c r="M334" s="1">
        <v>2862</v>
      </c>
      <c r="N334" t="s">
        <v>30</v>
      </c>
      <c r="O334" s="5">
        <f>EDATE(O333,1)</f>
        <v>41395</v>
      </c>
      <c r="P334">
        <v>23</v>
      </c>
      <c r="Q334">
        <v>24</v>
      </c>
      <c r="R334" s="2">
        <f>PPMT((0.1/12),23,50,-100000,20000,0)</f>
        <v>1555.9647717661387</v>
      </c>
      <c r="S334">
        <v>50</v>
      </c>
      <c r="T334" s="2">
        <v>1555.9647717661387</v>
      </c>
      <c r="U334" t="s">
        <v>29</v>
      </c>
      <c r="V334" t="s">
        <v>29</v>
      </c>
      <c r="W334">
        <v>0</v>
      </c>
      <c r="X334">
        <v>0</v>
      </c>
      <c r="Y334">
        <v>0</v>
      </c>
    </row>
    <row r="335" spans="1:25" x14ac:dyDescent="0.25">
      <c r="A335">
        <v>3</v>
      </c>
      <c r="B335" s="1">
        <v>1010</v>
      </c>
      <c r="C335" s="2" t="s">
        <v>36</v>
      </c>
      <c r="D335" s="2">
        <v>100000</v>
      </c>
      <c r="E335" s="2">
        <v>61600</v>
      </c>
      <c r="F335" s="1">
        <v>50</v>
      </c>
      <c r="G335" s="1">
        <v>24</v>
      </c>
      <c r="H335" s="2" t="s">
        <v>26</v>
      </c>
      <c r="J335" s="2" t="s">
        <v>26</v>
      </c>
      <c r="K335" s="2">
        <v>10000</v>
      </c>
      <c r="L335" s="2" t="s">
        <v>26</v>
      </c>
      <c r="M335" s="1">
        <v>2862</v>
      </c>
      <c r="N335" t="s">
        <v>30</v>
      </c>
      <c r="O335" s="5">
        <f>EDATE(O334,1)</f>
        <v>41426</v>
      </c>
      <c r="P335">
        <v>24</v>
      </c>
      <c r="Q335">
        <v>25</v>
      </c>
      <c r="R335" s="2">
        <f>PPMT((0.1/12),24,50,-100000,20000,0)</f>
        <v>1568.9311448641897</v>
      </c>
      <c r="S335">
        <v>50</v>
      </c>
      <c r="T335" s="2">
        <v>1568.9311448641897</v>
      </c>
      <c r="U335" t="s">
        <v>29</v>
      </c>
      <c r="V335" t="s">
        <v>29</v>
      </c>
      <c r="W335">
        <v>0</v>
      </c>
      <c r="X335">
        <v>0</v>
      </c>
      <c r="Y335">
        <v>0</v>
      </c>
    </row>
    <row r="336" spans="1:25" x14ac:dyDescent="0.25">
      <c r="A336">
        <v>3</v>
      </c>
      <c r="B336" s="1">
        <v>1010</v>
      </c>
      <c r="C336" s="2" t="s">
        <v>36</v>
      </c>
      <c r="D336" s="2">
        <v>100000</v>
      </c>
      <c r="E336" s="2">
        <v>60000</v>
      </c>
      <c r="F336" s="1">
        <v>50</v>
      </c>
      <c r="G336" s="1">
        <v>25</v>
      </c>
      <c r="H336" s="2" t="s">
        <v>26</v>
      </c>
      <c r="J336" s="2" t="s">
        <v>26</v>
      </c>
      <c r="K336" s="2">
        <v>10000</v>
      </c>
      <c r="L336" s="2" t="s">
        <v>26</v>
      </c>
      <c r="M336" s="1">
        <v>2862</v>
      </c>
      <c r="N336" t="s">
        <v>30</v>
      </c>
      <c r="O336" s="5">
        <f>EDATE(O335,1)</f>
        <v>41456</v>
      </c>
      <c r="P336">
        <v>25</v>
      </c>
      <c r="Q336">
        <v>26</v>
      </c>
      <c r="R336" s="2">
        <f>PPMT((0.1/12),25,50,-100000,20000,0)</f>
        <v>1582.0055710713912</v>
      </c>
      <c r="S336">
        <v>50</v>
      </c>
      <c r="T336" s="2">
        <v>1582.0055710713912</v>
      </c>
      <c r="U336" t="s">
        <v>29</v>
      </c>
      <c r="V336" t="s">
        <v>29</v>
      </c>
      <c r="W336">
        <v>0</v>
      </c>
      <c r="X336">
        <v>0</v>
      </c>
      <c r="Y336">
        <v>0</v>
      </c>
    </row>
    <row r="337" spans="1:25" x14ac:dyDescent="0.25">
      <c r="A337">
        <v>3</v>
      </c>
      <c r="B337" s="1">
        <v>1010</v>
      </c>
      <c r="C337" s="2" t="s">
        <v>36</v>
      </c>
      <c r="D337" s="2">
        <v>100000</v>
      </c>
      <c r="E337" s="2">
        <v>58400</v>
      </c>
      <c r="F337" s="1">
        <v>50</v>
      </c>
      <c r="G337" s="1">
        <v>26</v>
      </c>
      <c r="H337" s="2" t="s">
        <v>26</v>
      </c>
      <c r="J337" s="2" t="s">
        <v>26</v>
      </c>
      <c r="K337" s="2">
        <v>10000</v>
      </c>
      <c r="L337" s="2" t="s">
        <v>26</v>
      </c>
      <c r="M337" s="1">
        <v>2862</v>
      </c>
      <c r="N337" t="s">
        <v>30</v>
      </c>
      <c r="O337" s="5">
        <f>EDATE(O336,1)</f>
        <v>41487</v>
      </c>
      <c r="P337">
        <v>26</v>
      </c>
      <c r="Q337">
        <v>27</v>
      </c>
      <c r="R337" s="2">
        <f>PPMT((0.1/12),26,50,-100000,20000,0)</f>
        <v>1595.1889508303198</v>
      </c>
      <c r="S337">
        <v>50</v>
      </c>
      <c r="T337" s="2">
        <v>1595.1889508303198</v>
      </c>
      <c r="U337" t="s">
        <v>29</v>
      </c>
      <c r="V337" t="s">
        <v>29</v>
      </c>
      <c r="W337">
        <v>0</v>
      </c>
      <c r="X337">
        <v>0</v>
      </c>
      <c r="Y337">
        <v>0</v>
      </c>
    </row>
    <row r="338" spans="1:25" x14ac:dyDescent="0.25">
      <c r="A338">
        <v>3</v>
      </c>
      <c r="B338" s="1">
        <v>1010</v>
      </c>
      <c r="C338" s="2" t="s">
        <v>36</v>
      </c>
      <c r="D338" s="2">
        <v>100000</v>
      </c>
      <c r="E338" s="2">
        <v>56800</v>
      </c>
      <c r="F338" s="1">
        <v>50</v>
      </c>
      <c r="G338" s="1">
        <v>27</v>
      </c>
      <c r="H338" s="2" t="s">
        <v>26</v>
      </c>
      <c r="J338" s="2" t="s">
        <v>26</v>
      </c>
      <c r="K338" s="2">
        <v>10000</v>
      </c>
      <c r="L338" s="2" t="s">
        <v>26</v>
      </c>
      <c r="M338" s="1">
        <v>2862</v>
      </c>
      <c r="N338" t="s">
        <v>30</v>
      </c>
      <c r="O338" s="5">
        <f>EDATE(O337,1)</f>
        <v>41518</v>
      </c>
      <c r="P338">
        <v>27</v>
      </c>
      <c r="Q338">
        <v>28</v>
      </c>
      <c r="R338" s="2">
        <f>PPMT((0.1/12),27,50,-100000,20000,0)</f>
        <v>1608.4821920872389</v>
      </c>
      <c r="S338">
        <v>50</v>
      </c>
      <c r="T338" s="2">
        <v>1608.4821920872389</v>
      </c>
      <c r="U338" t="s">
        <v>29</v>
      </c>
      <c r="V338" t="s">
        <v>29</v>
      </c>
      <c r="W338">
        <v>0</v>
      </c>
      <c r="X338">
        <v>0</v>
      </c>
      <c r="Y338">
        <v>0</v>
      </c>
    </row>
    <row r="339" spans="1:25" x14ac:dyDescent="0.25">
      <c r="A339">
        <v>3</v>
      </c>
      <c r="B339" s="1">
        <v>1010</v>
      </c>
      <c r="C339" s="2" t="s">
        <v>36</v>
      </c>
      <c r="D339" s="2">
        <v>100000</v>
      </c>
      <c r="E339" s="2">
        <v>55200</v>
      </c>
      <c r="F339" s="1">
        <v>50</v>
      </c>
      <c r="G339" s="1">
        <v>28</v>
      </c>
      <c r="H339" s="2" t="s">
        <v>26</v>
      </c>
      <c r="J339" s="2" t="s">
        <v>26</v>
      </c>
      <c r="K339" s="2">
        <v>10000</v>
      </c>
      <c r="L339" s="2" t="s">
        <v>26</v>
      </c>
      <c r="M339" s="1">
        <v>2862</v>
      </c>
      <c r="N339" t="s">
        <v>30</v>
      </c>
      <c r="O339" s="5">
        <f>EDATE(O338,1)</f>
        <v>41548</v>
      </c>
      <c r="P339">
        <v>28</v>
      </c>
      <c r="Q339">
        <v>29</v>
      </c>
      <c r="R339" s="2">
        <f>PPMT((0.1/12),28,50,-100000,20000,0)</f>
        <v>1621.8862103546323</v>
      </c>
      <c r="S339">
        <v>50</v>
      </c>
      <c r="T339" s="2">
        <v>1621.8862103546323</v>
      </c>
      <c r="U339" t="s">
        <v>29</v>
      </c>
      <c r="V339" t="s">
        <v>29</v>
      </c>
      <c r="W339">
        <v>0</v>
      </c>
      <c r="X339">
        <v>0</v>
      </c>
      <c r="Y339">
        <v>0</v>
      </c>
    </row>
    <row r="340" spans="1:25" x14ac:dyDescent="0.25">
      <c r="A340">
        <v>3</v>
      </c>
      <c r="B340" s="1">
        <v>1010</v>
      </c>
      <c r="C340" s="2" t="s">
        <v>36</v>
      </c>
      <c r="D340" s="2">
        <v>100000</v>
      </c>
      <c r="E340" s="2">
        <v>53600</v>
      </c>
      <c r="F340" s="1">
        <v>50</v>
      </c>
      <c r="G340" s="1">
        <v>29</v>
      </c>
      <c r="H340" s="2" t="s">
        <v>26</v>
      </c>
      <c r="J340" s="2" t="s">
        <v>26</v>
      </c>
      <c r="K340" s="2">
        <v>10000</v>
      </c>
      <c r="L340" s="2" t="s">
        <v>26</v>
      </c>
      <c r="M340" s="1">
        <v>2862</v>
      </c>
      <c r="N340" t="s">
        <v>30</v>
      </c>
      <c r="O340" s="5">
        <f>EDATE(O339,1)</f>
        <v>41579</v>
      </c>
      <c r="P340">
        <v>29</v>
      </c>
      <c r="Q340">
        <v>30</v>
      </c>
      <c r="R340" s="2">
        <f>PPMT((0.1/12),29,50,-100000,20000,0)</f>
        <v>1635.4019287742547</v>
      </c>
      <c r="S340">
        <v>50</v>
      </c>
      <c r="T340" s="2">
        <v>1635.4019287742547</v>
      </c>
      <c r="U340" t="s">
        <v>29</v>
      </c>
      <c r="V340" t="s">
        <v>29</v>
      </c>
      <c r="W340">
        <v>0</v>
      </c>
      <c r="X340">
        <v>0</v>
      </c>
      <c r="Y340">
        <v>0</v>
      </c>
    </row>
    <row r="341" spans="1:25" x14ac:dyDescent="0.25">
      <c r="A341">
        <v>3</v>
      </c>
      <c r="B341" s="1">
        <v>1010</v>
      </c>
      <c r="C341" s="2" t="s">
        <v>36</v>
      </c>
      <c r="D341" s="2">
        <v>100000</v>
      </c>
      <c r="E341" s="2">
        <v>52000</v>
      </c>
      <c r="F341" s="1">
        <v>50</v>
      </c>
      <c r="G341" s="1">
        <v>30</v>
      </c>
      <c r="H341" s="2" t="s">
        <v>26</v>
      </c>
      <c r="J341" s="2" t="s">
        <v>26</v>
      </c>
      <c r="K341" s="2">
        <v>10000</v>
      </c>
      <c r="L341" s="2" t="s">
        <v>26</v>
      </c>
      <c r="M341" s="1">
        <v>2862</v>
      </c>
      <c r="N341" t="s">
        <v>30</v>
      </c>
      <c r="O341" s="5">
        <f>EDATE(O340,1)</f>
        <v>41609</v>
      </c>
      <c r="P341">
        <v>30</v>
      </c>
      <c r="Q341">
        <v>31</v>
      </c>
      <c r="R341" s="2">
        <f>PPMT((0.1/12),30,50,-100000,20000,0)</f>
        <v>1649.0302781807068</v>
      </c>
      <c r="S341">
        <v>50</v>
      </c>
      <c r="T341" s="2">
        <v>1649.0302781807068</v>
      </c>
      <c r="U341" t="s">
        <v>29</v>
      </c>
      <c r="V341" t="s">
        <v>29</v>
      </c>
      <c r="W341">
        <v>0</v>
      </c>
      <c r="X341">
        <v>0</v>
      </c>
      <c r="Y341">
        <v>0</v>
      </c>
    </row>
    <row r="342" spans="1:25" x14ac:dyDescent="0.25">
      <c r="A342">
        <v>3</v>
      </c>
      <c r="B342" s="1">
        <v>1010</v>
      </c>
      <c r="C342" s="2" t="s">
        <v>36</v>
      </c>
      <c r="D342" s="2">
        <v>100000</v>
      </c>
      <c r="E342" s="2">
        <v>50400</v>
      </c>
      <c r="F342" s="1">
        <v>50</v>
      </c>
      <c r="G342" s="1">
        <v>31</v>
      </c>
      <c r="H342" s="2" t="s">
        <v>26</v>
      </c>
      <c r="J342" s="2" t="s">
        <v>26</v>
      </c>
      <c r="K342" s="2">
        <v>10000</v>
      </c>
      <c r="L342" s="2" t="s">
        <v>26</v>
      </c>
      <c r="M342" s="1">
        <v>2862</v>
      </c>
      <c r="N342" t="s">
        <v>30</v>
      </c>
      <c r="O342" s="5">
        <f>EDATE(O341,1)</f>
        <v>41640</v>
      </c>
      <c r="P342">
        <v>31</v>
      </c>
      <c r="Q342">
        <v>32</v>
      </c>
      <c r="R342" s="2">
        <f>PPMT((0.1/12),31,50,-100000,20000,0)</f>
        <v>1662.7721971655458</v>
      </c>
      <c r="S342">
        <v>50</v>
      </c>
      <c r="T342" s="2">
        <v>1662.7721971655458</v>
      </c>
      <c r="U342" t="s">
        <v>29</v>
      </c>
      <c r="V342" t="s">
        <v>29</v>
      </c>
      <c r="W342">
        <v>0</v>
      </c>
      <c r="X342">
        <v>0</v>
      </c>
      <c r="Y342">
        <v>0</v>
      </c>
    </row>
    <row r="343" spans="1:25" x14ac:dyDescent="0.25">
      <c r="A343">
        <v>3</v>
      </c>
      <c r="B343" s="1">
        <v>1010</v>
      </c>
      <c r="C343" s="2" t="s">
        <v>36</v>
      </c>
      <c r="D343" s="2">
        <v>100000</v>
      </c>
      <c r="E343" s="2">
        <v>48800</v>
      </c>
      <c r="F343" s="1">
        <v>50</v>
      </c>
      <c r="G343" s="1">
        <v>32</v>
      </c>
      <c r="H343" s="2" t="s">
        <v>26</v>
      </c>
      <c r="J343" s="2" t="s">
        <v>26</v>
      </c>
      <c r="K343" s="2">
        <v>10000</v>
      </c>
      <c r="L343" s="2" t="s">
        <v>26</v>
      </c>
      <c r="M343" s="1">
        <v>2862</v>
      </c>
      <c r="N343" t="s">
        <v>30</v>
      </c>
      <c r="O343" s="5">
        <f>EDATE(O342,1)</f>
        <v>41671</v>
      </c>
      <c r="P343">
        <v>32</v>
      </c>
      <c r="Q343">
        <v>33</v>
      </c>
      <c r="R343" s="2">
        <f>PPMT((0.1/12),32,50,-100000,20000,0)</f>
        <v>1676.6286321419252</v>
      </c>
      <c r="S343">
        <v>50</v>
      </c>
      <c r="T343" s="2">
        <v>1676.6286321419252</v>
      </c>
      <c r="U343" t="s">
        <v>29</v>
      </c>
      <c r="V343" t="s">
        <v>29</v>
      </c>
      <c r="W343">
        <v>0</v>
      </c>
      <c r="X343">
        <v>0</v>
      </c>
      <c r="Y343">
        <v>0</v>
      </c>
    </row>
    <row r="344" spans="1:25" x14ac:dyDescent="0.25">
      <c r="A344">
        <v>3</v>
      </c>
      <c r="B344" s="1">
        <v>1010</v>
      </c>
      <c r="C344" s="2" t="s">
        <v>36</v>
      </c>
      <c r="D344" s="2">
        <v>100000</v>
      </c>
      <c r="E344" s="2">
        <v>47200</v>
      </c>
      <c r="F344" s="1">
        <v>50</v>
      </c>
      <c r="G344" s="1">
        <v>33</v>
      </c>
      <c r="H344" s="2" t="s">
        <v>26</v>
      </c>
      <c r="J344" s="2" t="s">
        <v>26</v>
      </c>
      <c r="K344" s="2">
        <v>10000</v>
      </c>
      <c r="L344" s="2" t="s">
        <v>26</v>
      </c>
      <c r="M344" s="1">
        <v>2862</v>
      </c>
      <c r="N344" t="s">
        <v>30</v>
      </c>
      <c r="O344" s="5">
        <f>EDATE(O343,1)</f>
        <v>41699</v>
      </c>
      <c r="P344">
        <v>33</v>
      </c>
      <c r="Q344">
        <v>34</v>
      </c>
      <c r="R344" s="2">
        <f>PPMT((0.1/12),33,50,-100000,20000,0)</f>
        <v>1690.6005374097747</v>
      </c>
      <c r="S344">
        <v>50</v>
      </c>
      <c r="T344" s="2">
        <v>1690.6005374097747</v>
      </c>
      <c r="U344" t="s">
        <v>29</v>
      </c>
      <c r="V344" t="s">
        <v>29</v>
      </c>
      <c r="W344">
        <v>0</v>
      </c>
      <c r="X344">
        <v>0</v>
      </c>
      <c r="Y344">
        <v>0</v>
      </c>
    </row>
    <row r="345" spans="1:25" x14ac:dyDescent="0.25">
      <c r="A345">
        <v>3</v>
      </c>
      <c r="B345" s="1">
        <v>1010</v>
      </c>
      <c r="C345" s="2" t="s">
        <v>36</v>
      </c>
      <c r="D345" s="2">
        <v>100000</v>
      </c>
      <c r="E345" s="2">
        <v>45600</v>
      </c>
      <c r="F345" s="1">
        <v>50</v>
      </c>
      <c r="G345" s="1">
        <v>34</v>
      </c>
      <c r="H345" s="2" t="s">
        <v>26</v>
      </c>
      <c r="J345" s="2" t="s">
        <v>26</v>
      </c>
      <c r="K345" s="2">
        <v>10000</v>
      </c>
      <c r="L345" s="2" t="s">
        <v>26</v>
      </c>
      <c r="M345" s="1">
        <v>2862</v>
      </c>
      <c r="N345" t="s">
        <v>30</v>
      </c>
      <c r="O345" s="5">
        <f>EDATE(O344,1)</f>
        <v>41730</v>
      </c>
      <c r="P345">
        <v>34</v>
      </c>
      <c r="Q345">
        <v>35</v>
      </c>
      <c r="R345" s="2">
        <f>PPMT((0.1/12),34,50,-100000,20000,0)</f>
        <v>1704.6888752215229</v>
      </c>
      <c r="S345">
        <v>50</v>
      </c>
      <c r="T345" s="2">
        <v>1704.6888752215229</v>
      </c>
      <c r="U345" t="s">
        <v>29</v>
      </c>
      <c r="V345" t="s">
        <v>29</v>
      </c>
      <c r="W345">
        <v>0</v>
      </c>
      <c r="X345">
        <v>0</v>
      </c>
      <c r="Y345">
        <v>0</v>
      </c>
    </row>
    <row r="346" spans="1:25" x14ac:dyDescent="0.25">
      <c r="A346">
        <v>3</v>
      </c>
      <c r="B346" s="1">
        <v>1010</v>
      </c>
      <c r="C346" s="2" t="s">
        <v>36</v>
      </c>
      <c r="D346" s="2">
        <v>100000</v>
      </c>
      <c r="E346" s="2">
        <v>44000</v>
      </c>
      <c r="F346" s="1">
        <v>50</v>
      </c>
      <c r="G346" s="1">
        <v>35</v>
      </c>
      <c r="H346" s="2" t="s">
        <v>26</v>
      </c>
      <c r="J346" s="2" t="s">
        <v>26</v>
      </c>
      <c r="K346" s="2">
        <v>10000</v>
      </c>
      <c r="L346" s="2" t="s">
        <v>26</v>
      </c>
      <c r="M346" s="1">
        <v>2862</v>
      </c>
      <c r="N346" t="s">
        <v>30</v>
      </c>
      <c r="O346" s="5">
        <f>EDATE(O345,1)</f>
        <v>41760</v>
      </c>
      <c r="P346">
        <v>35</v>
      </c>
      <c r="Q346">
        <v>36</v>
      </c>
      <c r="R346" s="2">
        <f>PPMT((0.1/12),35,50,-100000,20000,0)</f>
        <v>1718.8946158483689</v>
      </c>
      <c r="S346">
        <v>50</v>
      </c>
      <c r="T346" s="2">
        <v>1718.8946158483689</v>
      </c>
      <c r="U346" t="s">
        <v>29</v>
      </c>
      <c r="V346" t="s">
        <v>29</v>
      </c>
      <c r="W346">
        <v>0</v>
      </c>
      <c r="X346">
        <v>0</v>
      </c>
      <c r="Y346">
        <v>0</v>
      </c>
    </row>
    <row r="347" spans="1:25" x14ac:dyDescent="0.25">
      <c r="A347">
        <v>3</v>
      </c>
      <c r="B347" s="1">
        <v>1010</v>
      </c>
      <c r="C347" s="2" t="s">
        <v>36</v>
      </c>
      <c r="D347" s="2">
        <v>100000</v>
      </c>
      <c r="E347" s="2">
        <v>42400</v>
      </c>
      <c r="F347" s="1">
        <v>50</v>
      </c>
      <c r="G347" s="1">
        <v>36</v>
      </c>
      <c r="H347" s="2" t="s">
        <v>26</v>
      </c>
      <c r="J347" s="2" t="s">
        <v>26</v>
      </c>
      <c r="K347" s="2">
        <v>10000</v>
      </c>
      <c r="L347" s="2" t="s">
        <v>26</v>
      </c>
      <c r="M347" s="1">
        <v>2862</v>
      </c>
      <c r="N347" t="s">
        <v>30</v>
      </c>
      <c r="O347" s="5">
        <f>EDATE(O346,1)</f>
        <v>41791</v>
      </c>
      <c r="P347">
        <v>36</v>
      </c>
      <c r="Q347">
        <v>37</v>
      </c>
      <c r="R347" s="2">
        <f>PPMT((0.1/12),36,50,-100000,20000,0)</f>
        <v>1733.2187376471052</v>
      </c>
      <c r="S347">
        <v>50</v>
      </c>
      <c r="T347" s="2">
        <v>1733.2187376471052</v>
      </c>
      <c r="U347" t="s">
        <v>29</v>
      </c>
      <c r="V347" t="s">
        <v>29</v>
      </c>
      <c r="W347">
        <v>0</v>
      </c>
      <c r="X347">
        <v>0</v>
      </c>
      <c r="Y347">
        <v>0</v>
      </c>
    </row>
    <row r="348" spans="1:25" x14ac:dyDescent="0.25">
      <c r="A348">
        <v>3</v>
      </c>
      <c r="B348" s="1">
        <v>1010</v>
      </c>
      <c r="C348" s="2" t="s">
        <v>36</v>
      </c>
      <c r="D348" s="2">
        <v>100000</v>
      </c>
      <c r="E348" s="2">
        <v>40800</v>
      </c>
      <c r="F348" s="1">
        <v>50</v>
      </c>
      <c r="G348" s="1">
        <v>37</v>
      </c>
      <c r="H348" s="2" t="s">
        <v>26</v>
      </c>
      <c r="J348" s="2" t="s">
        <v>26</v>
      </c>
      <c r="K348" s="2">
        <v>10000</v>
      </c>
      <c r="L348" s="2" t="s">
        <v>26</v>
      </c>
      <c r="M348" s="1">
        <v>2862</v>
      </c>
      <c r="N348" t="s">
        <v>30</v>
      </c>
      <c r="O348" s="5">
        <f>EDATE(O347,1)</f>
        <v>41821</v>
      </c>
      <c r="P348">
        <v>37</v>
      </c>
      <c r="Q348">
        <v>38</v>
      </c>
      <c r="R348" s="2">
        <f>PPMT((0.1/12),37,50,-100000,20000,0)</f>
        <v>1747.6622271274978</v>
      </c>
      <c r="S348">
        <v>50</v>
      </c>
      <c r="T348" s="2">
        <v>1747.6622271274978</v>
      </c>
      <c r="U348" t="s">
        <v>29</v>
      </c>
      <c r="V348" t="s">
        <v>29</v>
      </c>
      <c r="W348">
        <v>0</v>
      </c>
      <c r="X348">
        <v>0</v>
      </c>
      <c r="Y348">
        <v>0</v>
      </c>
    </row>
    <row r="349" spans="1:25" x14ac:dyDescent="0.25">
      <c r="A349">
        <v>3</v>
      </c>
      <c r="B349" s="1">
        <v>1010</v>
      </c>
      <c r="C349" s="2" t="s">
        <v>36</v>
      </c>
      <c r="D349" s="2">
        <v>100000</v>
      </c>
      <c r="E349" s="2">
        <v>39200</v>
      </c>
      <c r="F349" s="1">
        <v>50</v>
      </c>
      <c r="G349" s="1">
        <v>38</v>
      </c>
      <c r="H349" s="2" t="s">
        <v>26</v>
      </c>
      <c r="J349" s="2" t="s">
        <v>26</v>
      </c>
      <c r="K349" s="2">
        <v>10000</v>
      </c>
      <c r="L349" s="2" t="s">
        <v>26</v>
      </c>
      <c r="M349" s="1">
        <v>2862</v>
      </c>
      <c r="N349" t="s">
        <v>30</v>
      </c>
      <c r="O349" s="5">
        <f>EDATE(O348,1)</f>
        <v>41852</v>
      </c>
      <c r="P349">
        <v>38</v>
      </c>
      <c r="Q349">
        <v>39</v>
      </c>
      <c r="R349" s="2">
        <f>PPMT((0.1/12),38,50,-100000,20000,0)</f>
        <v>1762.226079020227</v>
      </c>
      <c r="S349">
        <v>50</v>
      </c>
      <c r="T349" s="2">
        <v>1762.226079020227</v>
      </c>
      <c r="U349" t="s">
        <v>29</v>
      </c>
      <c r="V349" t="s">
        <v>29</v>
      </c>
      <c r="W349">
        <v>0</v>
      </c>
      <c r="X349">
        <v>0</v>
      </c>
      <c r="Y349">
        <v>0</v>
      </c>
    </row>
    <row r="350" spans="1:25" x14ac:dyDescent="0.25">
      <c r="A350">
        <v>3</v>
      </c>
      <c r="B350" s="1">
        <v>1010</v>
      </c>
      <c r="C350" s="2" t="s">
        <v>36</v>
      </c>
      <c r="D350" s="2">
        <v>100000</v>
      </c>
      <c r="E350" s="2">
        <v>37600</v>
      </c>
      <c r="F350" s="1">
        <v>50</v>
      </c>
      <c r="G350" s="1">
        <v>39</v>
      </c>
      <c r="H350" s="2" t="s">
        <v>26</v>
      </c>
      <c r="J350" s="2" t="s">
        <v>26</v>
      </c>
      <c r="K350" s="2">
        <v>10000</v>
      </c>
      <c r="L350" s="2" t="s">
        <v>26</v>
      </c>
      <c r="M350" s="1">
        <v>2862</v>
      </c>
      <c r="N350" t="s">
        <v>30</v>
      </c>
      <c r="O350" s="5">
        <f>EDATE(O349,1)</f>
        <v>41883</v>
      </c>
      <c r="P350">
        <v>39</v>
      </c>
      <c r="Q350">
        <v>40</v>
      </c>
      <c r="R350" s="2">
        <f>PPMT((0.1/12),39,50,-100000,20000,0)</f>
        <v>1776.9112963453956</v>
      </c>
      <c r="S350">
        <v>50</v>
      </c>
      <c r="T350" s="2">
        <v>1776.9112963453956</v>
      </c>
      <c r="U350" t="s">
        <v>29</v>
      </c>
      <c r="V350" t="s">
        <v>29</v>
      </c>
      <c r="W350">
        <v>0</v>
      </c>
      <c r="X350">
        <v>0</v>
      </c>
      <c r="Y350">
        <v>0</v>
      </c>
    </row>
    <row r="351" spans="1:25" x14ac:dyDescent="0.25">
      <c r="A351">
        <v>3</v>
      </c>
      <c r="B351" s="1">
        <v>1010</v>
      </c>
      <c r="C351" s="2" t="s">
        <v>36</v>
      </c>
      <c r="D351" s="2">
        <v>100000</v>
      </c>
      <c r="E351" s="2">
        <v>36000</v>
      </c>
      <c r="F351" s="1">
        <v>50</v>
      </c>
      <c r="G351" s="1">
        <v>40</v>
      </c>
      <c r="H351" s="2" t="s">
        <v>26</v>
      </c>
      <c r="J351" s="2" t="s">
        <v>26</v>
      </c>
      <c r="K351" s="2">
        <v>10000</v>
      </c>
      <c r="L351" s="2" t="s">
        <v>26</v>
      </c>
      <c r="M351" s="1">
        <v>2862</v>
      </c>
      <c r="N351" t="s">
        <v>30</v>
      </c>
      <c r="O351" s="5">
        <f>EDATE(O350,1)</f>
        <v>41913</v>
      </c>
      <c r="P351">
        <v>40</v>
      </c>
      <c r="Q351">
        <v>41</v>
      </c>
      <c r="R351" s="2">
        <f>PPMT((0.1/12),40,50,-100000,20000,0)</f>
        <v>1791.7188904816071</v>
      </c>
      <c r="S351">
        <v>50</v>
      </c>
      <c r="T351" s="2">
        <v>1791.7188904816071</v>
      </c>
      <c r="U351" t="s">
        <v>29</v>
      </c>
      <c r="V351" t="s">
        <v>29</v>
      </c>
      <c r="W351">
        <v>0</v>
      </c>
      <c r="X351">
        <v>0</v>
      </c>
      <c r="Y351">
        <v>0</v>
      </c>
    </row>
    <row r="352" spans="1:25" x14ac:dyDescent="0.25">
      <c r="A352">
        <v>3</v>
      </c>
      <c r="B352" s="1">
        <v>1010</v>
      </c>
      <c r="C352" s="2" t="s">
        <v>36</v>
      </c>
      <c r="D352" s="2">
        <v>100000</v>
      </c>
      <c r="E352" s="2">
        <v>34400</v>
      </c>
      <c r="F352" s="1">
        <v>50</v>
      </c>
      <c r="G352" s="1">
        <v>41</v>
      </c>
      <c r="H352" s="2" t="s">
        <v>26</v>
      </c>
      <c r="J352" s="2" t="s">
        <v>26</v>
      </c>
      <c r="K352" s="2">
        <v>10000</v>
      </c>
      <c r="L352" s="2" t="s">
        <v>26</v>
      </c>
      <c r="M352" s="1">
        <v>2862</v>
      </c>
      <c r="N352" t="s">
        <v>30</v>
      </c>
      <c r="O352" s="5">
        <f>EDATE(O351,1)</f>
        <v>41944</v>
      </c>
      <c r="P352">
        <v>41</v>
      </c>
      <c r="Q352">
        <v>42</v>
      </c>
      <c r="R352" s="2">
        <f>PPMT((0.1/12),41,50,-100000,20000,0)</f>
        <v>1806.6498812356206</v>
      </c>
      <c r="S352">
        <v>50</v>
      </c>
      <c r="T352" s="2">
        <v>1806.6498812356206</v>
      </c>
      <c r="U352" t="s">
        <v>29</v>
      </c>
      <c r="V352" t="s">
        <v>29</v>
      </c>
      <c r="W352">
        <v>0</v>
      </c>
      <c r="X352">
        <v>0</v>
      </c>
      <c r="Y352">
        <v>0</v>
      </c>
    </row>
    <row r="353" spans="1:25" x14ac:dyDescent="0.25">
      <c r="A353">
        <v>3</v>
      </c>
      <c r="B353" s="1">
        <v>1010</v>
      </c>
      <c r="C353" s="2" t="s">
        <v>36</v>
      </c>
      <c r="D353" s="2">
        <v>100000</v>
      </c>
      <c r="E353" s="2">
        <v>32800</v>
      </c>
      <c r="F353" s="1">
        <v>50</v>
      </c>
      <c r="G353" s="1">
        <v>42</v>
      </c>
      <c r="H353" s="2" t="s">
        <v>26</v>
      </c>
      <c r="J353" s="2" t="s">
        <v>26</v>
      </c>
      <c r="K353" s="2">
        <v>10000</v>
      </c>
      <c r="L353" s="2" t="s">
        <v>26</v>
      </c>
      <c r="M353" s="1">
        <v>2862</v>
      </c>
      <c r="N353" t="s">
        <v>30</v>
      </c>
      <c r="O353" s="5">
        <f>EDATE(O352,1)</f>
        <v>41974</v>
      </c>
      <c r="P353">
        <v>42</v>
      </c>
      <c r="Q353">
        <v>43</v>
      </c>
      <c r="R353" s="2">
        <f>PPMT((0.1/12),42,50,-100000,20000,0)</f>
        <v>1821.7052969125841</v>
      </c>
      <c r="S353">
        <v>50</v>
      </c>
      <c r="T353" s="2">
        <v>1821.7052969125841</v>
      </c>
      <c r="U353" t="s">
        <v>29</v>
      </c>
      <c r="V353" t="s">
        <v>29</v>
      </c>
      <c r="W353">
        <v>0</v>
      </c>
      <c r="X353">
        <v>0</v>
      </c>
      <c r="Y353">
        <v>0</v>
      </c>
    </row>
    <row r="354" spans="1:25" x14ac:dyDescent="0.25">
      <c r="A354">
        <v>3</v>
      </c>
      <c r="B354" s="1">
        <v>1010</v>
      </c>
      <c r="C354" s="2" t="s">
        <v>36</v>
      </c>
      <c r="D354" s="2">
        <v>100000</v>
      </c>
      <c r="E354" s="2">
        <v>31200</v>
      </c>
      <c r="F354" s="1">
        <v>50</v>
      </c>
      <c r="G354" s="1">
        <v>43</v>
      </c>
      <c r="H354" s="2" t="s">
        <v>26</v>
      </c>
      <c r="J354" s="2" t="s">
        <v>26</v>
      </c>
      <c r="K354" s="2">
        <v>10000</v>
      </c>
      <c r="L354" s="2" t="s">
        <v>26</v>
      </c>
      <c r="M354" s="1">
        <v>2862</v>
      </c>
      <c r="N354" t="s">
        <v>30</v>
      </c>
      <c r="O354" s="5">
        <f>EDATE(O353,1)</f>
        <v>42005</v>
      </c>
      <c r="P354">
        <v>43</v>
      </c>
      <c r="Q354">
        <v>44</v>
      </c>
      <c r="R354" s="2">
        <f>PPMT((0.1/12),43,50,-100000,20000,0)</f>
        <v>1836.8861743868556</v>
      </c>
      <c r="S354">
        <v>50</v>
      </c>
      <c r="T354" s="2">
        <v>1836.8861743868556</v>
      </c>
      <c r="U354" t="s">
        <v>29</v>
      </c>
      <c r="V354" t="s">
        <v>29</v>
      </c>
      <c r="W354">
        <v>0</v>
      </c>
      <c r="X354">
        <v>0</v>
      </c>
      <c r="Y354">
        <v>0</v>
      </c>
    </row>
    <row r="355" spans="1:25" x14ac:dyDescent="0.25">
      <c r="A355">
        <v>3</v>
      </c>
      <c r="B355" s="1">
        <v>1010</v>
      </c>
      <c r="C355" s="2" t="s">
        <v>36</v>
      </c>
      <c r="D355" s="2">
        <v>100000</v>
      </c>
      <c r="E355" s="2">
        <v>29600</v>
      </c>
      <c r="F355" s="1">
        <v>50</v>
      </c>
      <c r="G355" s="1">
        <v>44</v>
      </c>
      <c r="H355" s="2" t="s">
        <v>26</v>
      </c>
      <c r="J355" s="2" t="s">
        <v>26</v>
      </c>
      <c r="K355" s="2">
        <v>10000</v>
      </c>
      <c r="L355" s="2" t="s">
        <v>26</v>
      </c>
      <c r="M355" s="1">
        <v>2862</v>
      </c>
      <c r="N355" t="s">
        <v>30</v>
      </c>
      <c r="O355" s="5">
        <f>EDATE(O354,1)</f>
        <v>42036</v>
      </c>
      <c r="P355">
        <v>44</v>
      </c>
      <c r="Q355">
        <v>45</v>
      </c>
      <c r="R355" s="2">
        <f>PPMT((0.1/12),44,50,-100000,20000,0)</f>
        <v>1852.1935591734125</v>
      </c>
      <c r="S355">
        <v>50</v>
      </c>
      <c r="T355" s="2">
        <v>1852.1935591734125</v>
      </c>
      <c r="U355" t="s">
        <v>29</v>
      </c>
      <c r="V355" t="s">
        <v>29</v>
      </c>
      <c r="W355">
        <v>0</v>
      </c>
      <c r="X355">
        <v>0</v>
      </c>
      <c r="Y355">
        <v>0</v>
      </c>
    </row>
    <row r="356" spans="1:25" x14ac:dyDescent="0.25">
      <c r="A356">
        <v>3</v>
      </c>
      <c r="B356" s="1">
        <v>1010</v>
      </c>
      <c r="C356" s="2" t="s">
        <v>36</v>
      </c>
      <c r="D356" s="2">
        <v>100000</v>
      </c>
      <c r="E356" s="2">
        <v>28000</v>
      </c>
      <c r="F356" s="1">
        <v>50</v>
      </c>
      <c r="G356" s="1">
        <v>45</v>
      </c>
      <c r="H356" s="2" t="s">
        <v>26</v>
      </c>
      <c r="J356" s="2" t="s">
        <v>26</v>
      </c>
      <c r="K356" s="2">
        <v>10000</v>
      </c>
      <c r="L356" s="2" t="s">
        <v>26</v>
      </c>
      <c r="M356" s="1">
        <v>2862</v>
      </c>
      <c r="N356" t="s">
        <v>30</v>
      </c>
      <c r="O356" s="5">
        <f>EDATE(O355,1)</f>
        <v>42064</v>
      </c>
      <c r="P356">
        <v>45</v>
      </c>
      <c r="Q356">
        <v>46</v>
      </c>
      <c r="R356" s="2">
        <f>PPMT((0.1/12),45,50,-100000,20000,0)</f>
        <v>1867.628505499858</v>
      </c>
      <c r="S356">
        <v>50</v>
      </c>
      <c r="T356" s="2">
        <v>1867.628505499858</v>
      </c>
      <c r="U356" t="s">
        <v>29</v>
      </c>
      <c r="V356" t="s">
        <v>29</v>
      </c>
      <c r="W356">
        <v>0</v>
      </c>
      <c r="X356">
        <v>0</v>
      </c>
      <c r="Y356">
        <v>0</v>
      </c>
    </row>
    <row r="357" spans="1:25" x14ac:dyDescent="0.25">
      <c r="A357">
        <v>3</v>
      </c>
      <c r="B357" s="1">
        <v>1010</v>
      </c>
      <c r="C357" s="2" t="s">
        <v>36</v>
      </c>
      <c r="D357" s="2">
        <v>100000</v>
      </c>
      <c r="E357" s="2">
        <v>26400</v>
      </c>
      <c r="F357" s="1">
        <v>50</v>
      </c>
      <c r="G357" s="1">
        <v>46</v>
      </c>
      <c r="H357" s="2" t="s">
        <v>26</v>
      </c>
      <c r="J357" s="2" t="s">
        <v>26</v>
      </c>
      <c r="K357" s="2">
        <v>10000</v>
      </c>
      <c r="L357" s="2" t="s">
        <v>26</v>
      </c>
      <c r="M357" s="1">
        <v>2862</v>
      </c>
      <c r="N357" t="s">
        <v>30</v>
      </c>
      <c r="O357" s="5">
        <f>EDATE(O356,1)</f>
        <v>42095</v>
      </c>
      <c r="P357">
        <v>46</v>
      </c>
      <c r="Q357">
        <v>47</v>
      </c>
      <c r="R357" s="2">
        <f>PPMT((0.1/12),46,50,-100000,20000,0)</f>
        <v>1883.1920763790233</v>
      </c>
      <c r="S357">
        <v>50</v>
      </c>
      <c r="T357" s="2">
        <v>1883.1920763790233</v>
      </c>
      <c r="U357" t="s">
        <v>29</v>
      </c>
      <c r="V357" t="s">
        <v>29</v>
      </c>
      <c r="W357">
        <v>0</v>
      </c>
      <c r="X357">
        <v>0</v>
      </c>
      <c r="Y357">
        <v>0</v>
      </c>
    </row>
    <row r="358" spans="1:25" x14ac:dyDescent="0.25">
      <c r="A358">
        <v>3</v>
      </c>
      <c r="B358" s="1">
        <v>1010</v>
      </c>
      <c r="C358" s="2" t="s">
        <v>36</v>
      </c>
      <c r="D358" s="2">
        <v>100000</v>
      </c>
      <c r="E358" s="2">
        <v>24800</v>
      </c>
      <c r="F358" s="1">
        <v>50</v>
      </c>
      <c r="G358" s="1">
        <v>47</v>
      </c>
      <c r="H358" s="2" t="s">
        <v>26</v>
      </c>
      <c r="J358" s="2" t="s">
        <v>26</v>
      </c>
      <c r="K358" s="2">
        <v>10000</v>
      </c>
      <c r="L358" s="2" t="s">
        <v>26</v>
      </c>
      <c r="M358" s="1">
        <v>2862</v>
      </c>
      <c r="N358" t="s">
        <v>30</v>
      </c>
      <c r="O358" s="5">
        <f>EDATE(O357,1)</f>
        <v>42125</v>
      </c>
      <c r="P358">
        <v>47</v>
      </c>
      <c r="Q358">
        <v>48</v>
      </c>
      <c r="R358" s="2">
        <f>PPMT((0.1/12),47,50,-100000,20000,0)</f>
        <v>1898.8853436821819</v>
      </c>
      <c r="S358">
        <v>50</v>
      </c>
      <c r="T358" s="2">
        <v>1898.8853436821819</v>
      </c>
      <c r="U358" t="s">
        <v>29</v>
      </c>
      <c r="V358" t="s">
        <v>29</v>
      </c>
      <c r="W358">
        <v>0</v>
      </c>
      <c r="X358">
        <v>0</v>
      </c>
      <c r="Y358">
        <v>0</v>
      </c>
    </row>
    <row r="359" spans="1:25" x14ac:dyDescent="0.25">
      <c r="A359">
        <v>3</v>
      </c>
      <c r="B359" s="1">
        <v>1010</v>
      </c>
      <c r="C359" s="2" t="s">
        <v>36</v>
      </c>
      <c r="D359" s="2">
        <v>100000</v>
      </c>
      <c r="E359" s="2">
        <v>23200</v>
      </c>
      <c r="F359" s="1">
        <v>50</v>
      </c>
      <c r="G359" s="1">
        <v>48</v>
      </c>
      <c r="H359" s="2" t="s">
        <v>26</v>
      </c>
      <c r="J359" s="2" t="s">
        <v>26</v>
      </c>
      <c r="K359" s="2">
        <v>10000</v>
      </c>
      <c r="L359" s="2" t="s">
        <v>26</v>
      </c>
      <c r="M359" s="1">
        <v>2862</v>
      </c>
      <c r="N359" t="s">
        <v>30</v>
      </c>
      <c r="O359" s="5">
        <f>EDATE(O358,1)</f>
        <v>42156</v>
      </c>
      <c r="P359">
        <v>48</v>
      </c>
      <c r="Q359">
        <v>49</v>
      </c>
      <c r="R359" s="2">
        <f>PPMT((0.1/12),48,50,-100000,20000,0)</f>
        <v>1914.7093882128665</v>
      </c>
      <c r="S359">
        <v>50</v>
      </c>
      <c r="T359" s="2">
        <v>1914.7093882128665</v>
      </c>
      <c r="U359" t="s">
        <v>29</v>
      </c>
      <c r="V359" t="s">
        <v>29</v>
      </c>
      <c r="W359">
        <v>0</v>
      </c>
      <c r="X359">
        <v>0</v>
      </c>
      <c r="Y359">
        <v>0</v>
      </c>
    </row>
    <row r="360" spans="1:25" x14ac:dyDescent="0.25">
      <c r="A360">
        <v>3</v>
      </c>
      <c r="B360" s="1">
        <v>1010</v>
      </c>
      <c r="C360" s="2" t="s">
        <v>36</v>
      </c>
      <c r="D360" s="2">
        <v>100000</v>
      </c>
      <c r="E360" s="2">
        <v>21600</v>
      </c>
      <c r="F360" s="1">
        <v>50</v>
      </c>
      <c r="G360" s="1">
        <v>49</v>
      </c>
      <c r="H360" s="2" t="s">
        <v>26</v>
      </c>
      <c r="J360" s="2" t="s">
        <v>26</v>
      </c>
      <c r="K360" s="2">
        <v>10000</v>
      </c>
      <c r="L360" s="2" t="s">
        <v>26</v>
      </c>
      <c r="M360" s="1">
        <v>2862</v>
      </c>
      <c r="N360" t="s">
        <v>30</v>
      </c>
      <c r="O360" s="5">
        <f>EDATE(O359,1)</f>
        <v>42186</v>
      </c>
      <c r="P360">
        <v>49</v>
      </c>
      <c r="Q360">
        <v>50</v>
      </c>
      <c r="R360" s="2">
        <f>PPMT((0.1/12),49,50,-100000,20000,0)</f>
        <v>1930.6652997813073</v>
      </c>
      <c r="S360">
        <v>50</v>
      </c>
      <c r="T360" s="2">
        <v>1930.6652997813073</v>
      </c>
      <c r="U360" t="s">
        <v>29</v>
      </c>
      <c r="V360" t="s">
        <v>29</v>
      </c>
      <c r="W360">
        <v>0</v>
      </c>
      <c r="X360">
        <v>0</v>
      </c>
      <c r="Y360">
        <v>0</v>
      </c>
    </row>
    <row r="361" spans="1:25" x14ac:dyDescent="0.25">
      <c r="A361">
        <v>3</v>
      </c>
      <c r="B361" s="1">
        <v>1010</v>
      </c>
      <c r="C361" s="2" t="s">
        <v>36</v>
      </c>
      <c r="D361" s="2">
        <v>100000</v>
      </c>
      <c r="E361" s="2">
        <v>20000</v>
      </c>
      <c r="F361" s="1">
        <v>50</v>
      </c>
      <c r="G361" s="1">
        <v>50</v>
      </c>
      <c r="H361" s="2" t="s">
        <v>26</v>
      </c>
      <c r="J361" s="2" t="s">
        <v>26</v>
      </c>
      <c r="K361" s="2">
        <v>10000</v>
      </c>
      <c r="L361" s="2" t="s">
        <v>26</v>
      </c>
      <c r="M361" s="1">
        <v>2862</v>
      </c>
      <c r="N361" t="s">
        <v>30</v>
      </c>
      <c r="O361" s="5">
        <f>EDATE(O360,1)</f>
        <v>42217</v>
      </c>
      <c r="P361">
        <v>50</v>
      </c>
      <c r="Q361">
        <v>51</v>
      </c>
      <c r="R361" s="2">
        <f>PPMT((0.1/12),50,50,-100000,20000,0)</f>
        <v>1946.7541772794848</v>
      </c>
      <c r="S361">
        <v>50</v>
      </c>
      <c r="T361" s="2">
        <v>1946.7541772794848</v>
      </c>
      <c r="U361" t="s">
        <v>29</v>
      </c>
      <c r="V361" t="s">
        <v>29</v>
      </c>
      <c r="W361">
        <v>0</v>
      </c>
      <c r="X361">
        <v>0</v>
      </c>
      <c r="Y361">
        <v>0</v>
      </c>
    </row>
    <row r="362" spans="1:25" x14ac:dyDescent="0.25">
      <c r="A362">
        <v>3</v>
      </c>
      <c r="B362" s="1">
        <v>1010</v>
      </c>
      <c r="C362" s="2" t="s">
        <v>36</v>
      </c>
      <c r="D362" s="2">
        <v>100000</v>
      </c>
      <c r="E362" s="2">
        <v>18400</v>
      </c>
      <c r="F362" s="1">
        <v>50</v>
      </c>
      <c r="G362" s="1">
        <v>51</v>
      </c>
      <c r="H362" s="2" t="s">
        <v>26</v>
      </c>
      <c r="J362" s="2" t="s">
        <v>26</v>
      </c>
      <c r="K362" s="2">
        <v>10000</v>
      </c>
      <c r="L362" s="2" t="s">
        <v>26</v>
      </c>
      <c r="M362" s="1">
        <v>2862</v>
      </c>
      <c r="N362" t="s">
        <v>30</v>
      </c>
      <c r="O362" s="5">
        <f>EDATE(O361,1)</f>
        <v>42248</v>
      </c>
      <c r="P362">
        <v>51</v>
      </c>
      <c r="Q362">
        <v>999</v>
      </c>
      <c r="S362">
        <v>50</v>
      </c>
      <c r="T362" s="2">
        <v>0</v>
      </c>
      <c r="U362" t="s">
        <v>29</v>
      </c>
      <c r="V362" t="s">
        <v>29</v>
      </c>
      <c r="W362">
        <v>0</v>
      </c>
      <c r="X362">
        <v>0</v>
      </c>
      <c r="Y362">
        <v>0</v>
      </c>
    </row>
    <row r="363" spans="1:25" x14ac:dyDescent="0.25">
      <c r="A363">
        <v>3</v>
      </c>
      <c r="B363" s="1">
        <v>1010</v>
      </c>
      <c r="C363" s="2" t="s">
        <v>36</v>
      </c>
      <c r="D363" s="2">
        <v>100000</v>
      </c>
      <c r="E363" s="2">
        <v>98400</v>
      </c>
      <c r="F363" s="1">
        <v>50</v>
      </c>
      <c r="G363" s="1">
        <v>1</v>
      </c>
      <c r="H363" s="2" t="s">
        <v>26</v>
      </c>
      <c r="J363" s="2" t="s">
        <v>26</v>
      </c>
      <c r="K363" s="2">
        <v>10000</v>
      </c>
      <c r="L363" s="2" t="s">
        <v>26</v>
      </c>
      <c r="M363" s="1">
        <v>2868</v>
      </c>
      <c r="N363" t="s">
        <v>31</v>
      </c>
      <c r="O363" s="5">
        <v>40725</v>
      </c>
      <c r="P363">
        <v>1</v>
      </c>
      <c r="Q363">
        <v>2</v>
      </c>
      <c r="R363" s="2">
        <f>IPMT((0.1/12),1,50,-100000,20000,0)</f>
        <v>833.33333333333337</v>
      </c>
      <c r="S363">
        <v>50</v>
      </c>
      <c r="T363" s="2">
        <v>833.33333333333337</v>
      </c>
      <c r="U363" t="s">
        <v>29</v>
      </c>
      <c r="V363" t="s">
        <v>29</v>
      </c>
      <c r="W363">
        <v>0</v>
      </c>
      <c r="X363">
        <v>0</v>
      </c>
      <c r="Y363">
        <v>0</v>
      </c>
    </row>
    <row r="364" spans="1:25" x14ac:dyDescent="0.25">
      <c r="A364">
        <v>3</v>
      </c>
      <c r="B364" s="1">
        <v>1010</v>
      </c>
      <c r="C364" s="2" t="s">
        <v>36</v>
      </c>
      <c r="D364" s="2">
        <v>100000</v>
      </c>
      <c r="E364" s="2">
        <v>96800</v>
      </c>
      <c r="F364" s="1">
        <v>50</v>
      </c>
      <c r="G364" s="1">
        <v>2</v>
      </c>
      <c r="H364" s="2" t="s">
        <v>26</v>
      </c>
      <c r="J364" s="2" t="s">
        <v>26</v>
      </c>
      <c r="K364" s="2">
        <v>10000</v>
      </c>
      <c r="L364" s="2" t="s">
        <v>26</v>
      </c>
      <c r="M364" s="1">
        <v>2868</v>
      </c>
      <c r="N364" t="s">
        <v>31</v>
      </c>
      <c r="O364" s="5">
        <f>EDATE(O363,1)</f>
        <v>40756</v>
      </c>
      <c r="P364">
        <v>2</v>
      </c>
      <c r="Q364">
        <v>3</v>
      </c>
      <c r="R364" s="2">
        <f>IPMT((0.1/12),2,50,-100000,20000,0)</f>
        <v>822.53074614924867</v>
      </c>
      <c r="S364">
        <v>50</v>
      </c>
      <c r="T364" s="2">
        <v>822.53074614924867</v>
      </c>
      <c r="U364" t="s">
        <v>29</v>
      </c>
      <c r="V364" t="s">
        <v>29</v>
      </c>
      <c r="W364">
        <v>0</v>
      </c>
      <c r="X364">
        <v>0</v>
      </c>
      <c r="Y364">
        <v>0</v>
      </c>
    </row>
    <row r="365" spans="1:25" x14ac:dyDescent="0.25">
      <c r="A365">
        <v>3</v>
      </c>
      <c r="B365" s="1">
        <v>1010</v>
      </c>
      <c r="C365" s="2" t="s">
        <v>36</v>
      </c>
      <c r="D365" s="2">
        <v>100000</v>
      </c>
      <c r="E365" s="2">
        <v>95200</v>
      </c>
      <c r="F365" s="1">
        <v>50</v>
      </c>
      <c r="G365" s="1">
        <v>3</v>
      </c>
      <c r="H365" s="2" t="s">
        <v>26</v>
      </c>
      <c r="J365" s="2" t="s">
        <v>26</v>
      </c>
      <c r="K365" s="2">
        <v>10000</v>
      </c>
      <c r="L365" s="2" t="s">
        <v>26</v>
      </c>
      <c r="M365" s="1">
        <v>2868</v>
      </c>
      <c r="N365" t="s">
        <v>31</v>
      </c>
      <c r="O365" s="5">
        <f>EDATE(O364,1)</f>
        <v>40787</v>
      </c>
      <c r="P365">
        <v>3</v>
      </c>
      <c r="Q365">
        <v>4</v>
      </c>
      <c r="R365" s="2">
        <f>IPMT((0.1/12),3,50,-100000,20000,0)</f>
        <v>811.6381374052969</v>
      </c>
      <c r="S365">
        <v>50</v>
      </c>
      <c r="T365" s="2">
        <v>811.6381374052969</v>
      </c>
      <c r="U365" t="s">
        <v>29</v>
      </c>
      <c r="V365" t="s">
        <v>29</v>
      </c>
      <c r="W365">
        <v>0</v>
      </c>
      <c r="X365">
        <v>0</v>
      </c>
      <c r="Y365">
        <v>0</v>
      </c>
    </row>
    <row r="366" spans="1:25" x14ac:dyDescent="0.25">
      <c r="A366">
        <v>3</v>
      </c>
      <c r="B366" s="1">
        <v>1010</v>
      </c>
      <c r="C366" s="2" t="s">
        <v>36</v>
      </c>
      <c r="D366" s="2">
        <v>100000</v>
      </c>
      <c r="E366" s="2">
        <v>93600</v>
      </c>
      <c r="F366" s="1">
        <v>50</v>
      </c>
      <c r="G366" s="1">
        <v>4</v>
      </c>
      <c r="H366" s="2" t="s">
        <v>26</v>
      </c>
      <c r="J366" s="2" t="s">
        <v>26</v>
      </c>
      <c r="K366" s="2">
        <v>10000</v>
      </c>
      <c r="L366" s="2" t="s">
        <v>26</v>
      </c>
      <c r="M366" s="1">
        <v>2868</v>
      </c>
      <c r="N366" t="s">
        <v>31</v>
      </c>
      <c r="O366" s="5">
        <f>EDATE(O365,1)</f>
        <v>40817</v>
      </c>
      <c r="P366">
        <v>4</v>
      </c>
      <c r="Q366">
        <v>5</v>
      </c>
      <c r="R366" s="2">
        <f>IPMT((0.1/12),4,50,-100000,20000,0)</f>
        <v>800.65475692181212</v>
      </c>
      <c r="S366">
        <v>50</v>
      </c>
      <c r="T366" s="2">
        <v>800.65475692181212</v>
      </c>
      <c r="U366" t="s">
        <v>29</v>
      </c>
      <c r="V366" t="s">
        <v>29</v>
      </c>
      <c r="W366">
        <v>0</v>
      </c>
      <c r="X366">
        <v>0</v>
      </c>
      <c r="Y366">
        <v>0</v>
      </c>
    </row>
    <row r="367" spans="1:25" x14ac:dyDescent="0.25">
      <c r="A367">
        <v>3</v>
      </c>
      <c r="B367" s="1">
        <v>1010</v>
      </c>
      <c r="C367" s="2" t="s">
        <v>36</v>
      </c>
      <c r="D367" s="2">
        <v>100000</v>
      </c>
      <c r="E367" s="2">
        <v>92000</v>
      </c>
      <c r="F367" s="1">
        <v>50</v>
      </c>
      <c r="G367" s="1">
        <v>5</v>
      </c>
      <c r="H367" s="2" t="s">
        <v>26</v>
      </c>
      <c r="J367" s="2" t="s">
        <v>26</v>
      </c>
      <c r="K367" s="2">
        <v>10000</v>
      </c>
      <c r="L367" s="2" t="s">
        <v>26</v>
      </c>
      <c r="M367" s="1">
        <v>2868</v>
      </c>
      <c r="N367" t="s">
        <v>31</v>
      </c>
      <c r="O367" s="5">
        <f>EDATE(O366,1)</f>
        <v>40848</v>
      </c>
      <c r="P367">
        <v>5</v>
      </c>
      <c r="Q367">
        <v>6</v>
      </c>
      <c r="R367" s="2">
        <f>IPMT((0.1/12),5,50,-100000,20000,0)</f>
        <v>789.57984826763141</v>
      </c>
      <c r="S367">
        <v>50</v>
      </c>
      <c r="T367" s="2">
        <v>789.57984826763141</v>
      </c>
      <c r="U367" t="s">
        <v>29</v>
      </c>
      <c r="V367" t="s">
        <v>29</v>
      </c>
      <c r="W367">
        <v>0</v>
      </c>
      <c r="X367">
        <v>0</v>
      </c>
      <c r="Y367">
        <v>0</v>
      </c>
    </row>
    <row r="368" spans="1:25" x14ac:dyDescent="0.25">
      <c r="A368">
        <v>3</v>
      </c>
      <c r="B368" s="1">
        <v>1010</v>
      </c>
      <c r="C368" s="2" t="s">
        <v>36</v>
      </c>
      <c r="D368" s="2">
        <v>100000</v>
      </c>
      <c r="E368" s="2">
        <v>90400</v>
      </c>
      <c r="F368" s="1">
        <v>50</v>
      </c>
      <c r="G368" s="1">
        <v>6</v>
      </c>
      <c r="H368" s="2" t="s">
        <v>26</v>
      </c>
      <c r="J368" s="2" t="s">
        <v>26</v>
      </c>
      <c r="K368" s="2">
        <v>10000</v>
      </c>
      <c r="L368" s="2" t="s">
        <v>26</v>
      </c>
      <c r="M368" s="1">
        <v>2868</v>
      </c>
      <c r="N368" t="s">
        <v>31</v>
      </c>
      <c r="O368" s="5">
        <f>EDATE(O367,1)</f>
        <v>40878</v>
      </c>
      <c r="P368">
        <v>6</v>
      </c>
      <c r="Q368">
        <v>7</v>
      </c>
      <c r="R368" s="2">
        <f>IPMT((0.1/12),6,50,-100000,20000,0)</f>
        <v>778.41264870799932</v>
      </c>
      <c r="S368">
        <v>50</v>
      </c>
      <c r="T368" s="2">
        <v>778.41264870799932</v>
      </c>
      <c r="U368" t="s">
        <v>29</v>
      </c>
      <c r="V368" t="s">
        <v>29</v>
      </c>
      <c r="W368">
        <v>0</v>
      </c>
      <c r="X368">
        <v>0</v>
      </c>
      <c r="Y368">
        <v>0</v>
      </c>
    </row>
    <row r="369" spans="1:25" x14ac:dyDescent="0.25">
      <c r="A369">
        <v>3</v>
      </c>
      <c r="B369" s="1">
        <v>1010</v>
      </c>
      <c r="C369" s="2" t="s">
        <v>36</v>
      </c>
      <c r="D369" s="2">
        <v>100000</v>
      </c>
      <c r="E369" s="2">
        <v>88800</v>
      </c>
      <c r="F369" s="1">
        <v>50</v>
      </c>
      <c r="G369" s="1">
        <v>7</v>
      </c>
      <c r="H369" s="2" t="s">
        <v>26</v>
      </c>
      <c r="J369" s="2" t="s">
        <v>26</v>
      </c>
      <c r="K369" s="2">
        <v>10000</v>
      </c>
      <c r="L369" s="2" t="s">
        <v>26</v>
      </c>
      <c r="M369" s="1">
        <v>2868</v>
      </c>
      <c r="N369" t="s">
        <v>31</v>
      </c>
      <c r="O369" s="5">
        <f>EDATE(O368,1)</f>
        <v>40909</v>
      </c>
      <c r="P369">
        <v>7</v>
      </c>
      <c r="Q369">
        <v>8</v>
      </c>
      <c r="R369" s="2">
        <f>IPMT((0.1/12),7,50,-100000,20000,0)</f>
        <v>767.15238915203702</v>
      </c>
      <c r="S369">
        <v>50</v>
      </c>
      <c r="T369" s="2">
        <v>767.15238915203702</v>
      </c>
      <c r="U369" t="s">
        <v>29</v>
      </c>
      <c r="V369" t="s">
        <v>29</v>
      </c>
      <c r="W369">
        <v>0</v>
      </c>
      <c r="X369">
        <v>0</v>
      </c>
      <c r="Y369">
        <v>0</v>
      </c>
    </row>
    <row r="370" spans="1:25" x14ac:dyDescent="0.25">
      <c r="A370">
        <v>3</v>
      </c>
      <c r="B370" s="1">
        <v>1010</v>
      </c>
      <c r="C370" s="2" t="s">
        <v>36</v>
      </c>
      <c r="D370" s="2">
        <v>100000</v>
      </c>
      <c r="E370" s="2">
        <v>87200</v>
      </c>
      <c r="F370" s="1">
        <v>50</v>
      </c>
      <c r="G370" s="1">
        <v>8</v>
      </c>
      <c r="H370" s="2" t="s">
        <v>26</v>
      </c>
      <c r="J370" s="2" t="s">
        <v>26</v>
      </c>
      <c r="K370" s="2">
        <v>10000</v>
      </c>
      <c r="L370" s="2" t="s">
        <v>26</v>
      </c>
      <c r="M370" s="1">
        <v>2868</v>
      </c>
      <c r="N370" t="s">
        <v>31</v>
      </c>
      <c r="O370" s="5">
        <f>EDATE(O369,1)</f>
        <v>40940</v>
      </c>
      <c r="P370">
        <v>8</v>
      </c>
      <c r="Q370">
        <v>9</v>
      </c>
      <c r="R370" s="2">
        <f>IPMT((0.1/12),8,50,-100000,20000,0)</f>
        <v>755.79829409977503</v>
      </c>
      <c r="S370">
        <v>50</v>
      </c>
      <c r="T370" s="2">
        <v>755.79829409977503</v>
      </c>
      <c r="U370" t="s">
        <v>29</v>
      </c>
      <c r="V370" t="s">
        <v>29</v>
      </c>
      <c r="W370">
        <v>0</v>
      </c>
      <c r="X370">
        <v>0</v>
      </c>
      <c r="Y370">
        <v>0</v>
      </c>
    </row>
    <row r="371" spans="1:25" x14ac:dyDescent="0.25">
      <c r="A371">
        <v>3</v>
      </c>
      <c r="B371" s="1">
        <v>1010</v>
      </c>
      <c r="C371" s="2" t="s">
        <v>36</v>
      </c>
      <c r="D371" s="2">
        <v>100000</v>
      </c>
      <c r="E371" s="2">
        <v>85600</v>
      </c>
      <c r="F371" s="1">
        <v>50</v>
      </c>
      <c r="G371" s="1">
        <v>9</v>
      </c>
      <c r="H371" s="2" t="s">
        <v>26</v>
      </c>
      <c r="J371" s="2" t="s">
        <v>26</v>
      </c>
      <c r="K371" s="2">
        <v>10000</v>
      </c>
      <c r="L371" s="2" t="s">
        <v>26</v>
      </c>
      <c r="M371" s="1">
        <v>2868</v>
      </c>
      <c r="N371" t="s">
        <v>31</v>
      </c>
      <c r="O371" s="5">
        <f>EDATE(O370,1)</f>
        <v>40969</v>
      </c>
      <c r="P371">
        <v>9</v>
      </c>
      <c r="Q371">
        <v>10</v>
      </c>
      <c r="R371" s="2">
        <f>IPMT((0.1/12),9,50,-100000,20000,0)</f>
        <v>744.34958158874417</v>
      </c>
      <c r="S371">
        <v>50</v>
      </c>
      <c r="T371" s="2">
        <v>744.34958158874417</v>
      </c>
      <c r="U371" t="s">
        <v>29</v>
      </c>
      <c r="V371" t="s">
        <v>29</v>
      </c>
      <c r="W371">
        <v>0</v>
      </c>
      <c r="X371">
        <v>0</v>
      </c>
      <c r="Y371">
        <v>0</v>
      </c>
    </row>
    <row r="372" spans="1:25" x14ac:dyDescent="0.25">
      <c r="A372">
        <v>3</v>
      </c>
      <c r="B372" s="1">
        <v>1010</v>
      </c>
      <c r="C372" s="2" t="s">
        <v>36</v>
      </c>
      <c r="D372" s="2">
        <v>100000</v>
      </c>
      <c r="E372" s="2">
        <v>84000</v>
      </c>
      <c r="F372" s="1">
        <v>50</v>
      </c>
      <c r="G372" s="1">
        <v>10</v>
      </c>
      <c r="H372" s="2" t="s">
        <v>26</v>
      </c>
      <c r="J372" s="2" t="s">
        <v>26</v>
      </c>
      <c r="K372" s="2">
        <v>10000</v>
      </c>
      <c r="L372" s="2" t="s">
        <v>26</v>
      </c>
      <c r="M372" s="1">
        <v>2868</v>
      </c>
      <c r="N372" t="s">
        <v>31</v>
      </c>
      <c r="O372" s="5">
        <f>EDATE(O371,1)</f>
        <v>41000</v>
      </c>
      <c r="P372">
        <v>10</v>
      </c>
      <c r="Q372">
        <v>11</v>
      </c>
      <c r="R372" s="2">
        <f>IPMT((0.1/12),10,50,-100000,20000,0)</f>
        <v>732.80546314012133</v>
      </c>
      <c r="S372">
        <v>50</v>
      </c>
      <c r="T372" s="2">
        <v>732.80546314012133</v>
      </c>
      <c r="U372" t="s">
        <v>29</v>
      </c>
      <c r="V372" t="s">
        <v>29</v>
      </c>
      <c r="W372">
        <v>0</v>
      </c>
      <c r="X372">
        <v>0</v>
      </c>
      <c r="Y372">
        <v>0</v>
      </c>
    </row>
    <row r="373" spans="1:25" x14ac:dyDescent="0.25">
      <c r="A373">
        <v>3</v>
      </c>
      <c r="B373" s="1">
        <v>1010</v>
      </c>
      <c r="C373" s="2" t="s">
        <v>36</v>
      </c>
      <c r="D373" s="2">
        <v>100000</v>
      </c>
      <c r="E373" s="2">
        <v>82400</v>
      </c>
      <c r="F373" s="1">
        <v>50</v>
      </c>
      <c r="G373" s="1">
        <v>11</v>
      </c>
      <c r="H373" s="2" t="s">
        <v>26</v>
      </c>
      <c r="J373" s="2" t="s">
        <v>26</v>
      </c>
      <c r="K373" s="2">
        <v>10000</v>
      </c>
      <c r="L373" s="2" t="s">
        <v>26</v>
      </c>
      <c r="M373" s="1">
        <v>2868</v>
      </c>
      <c r="N373" t="s">
        <v>31</v>
      </c>
      <c r="O373" s="5">
        <f>EDATE(O372,1)</f>
        <v>41030</v>
      </c>
      <c r="P373">
        <v>11</v>
      </c>
      <c r="Q373">
        <v>12</v>
      </c>
      <c r="R373" s="2">
        <f>IPMT((0.1/12),11,50,-100000,20000,0)</f>
        <v>721.16514370442678</v>
      </c>
      <c r="S373">
        <v>50</v>
      </c>
      <c r="T373" s="2">
        <v>721.16514370442678</v>
      </c>
      <c r="U373" t="s">
        <v>29</v>
      </c>
      <c r="V373" t="s">
        <v>29</v>
      </c>
      <c r="W373">
        <v>0</v>
      </c>
      <c r="X373">
        <v>0</v>
      </c>
      <c r="Y373">
        <v>0</v>
      </c>
    </row>
    <row r="374" spans="1:25" x14ac:dyDescent="0.25">
      <c r="A374">
        <v>3</v>
      </c>
      <c r="B374" s="1">
        <v>1010</v>
      </c>
      <c r="C374" s="2" t="s">
        <v>36</v>
      </c>
      <c r="D374" s="2">
        <v>100000</v>
      </c>
      <c r="E374" s="2">
        <v>80800</v>
      </c>
      <c r="F374" s="1">
        <v>50</v>
      </c>
      <c r="G374" s="1">
        <v>12</v>
      </c>
      <c r="H374" s="2" t="s">
        <v>26</v>
      </c>
      <c r="J374" s="2" t="s">
        <v>26</v>
      </c>
      <c r="K374" s="2">
        <v>10000</v>
      </c>
      <c r="L374" s="2" t="s">
        <v>26</v>
      </c>
      <c r="M374" s="1">
        <v>2868</v>
      </c>
      <c r="N374" t="s">
        <v>31</v>
      </c>
      <c r="O374" s="5">
        <f>EDATE(O373,1)</f>
        <v>41061</v>
      </c>
      <c r="P374">
        <v>12</v>
      </c>
      <c r="Q374">
        <v>13</v>
      </c>
      <c r="R374" s="2">
        <f>IPMT((0.1/12),12,50,-100000,20000,0)</f>
        <v>709.42782160676802</v>
      </c>
      <c r="S374">
        <v>50</v>
      </c>
      <c r="T374" s="2">
        <v>709.42782160676802</v>
      </c>
      <c r="U374" t="s">
        <v>29</v>
      </c>
      <c r="V374" t="s">
        <v>29</v>
      </c>
      <c r="W374">
        <v>0</v>
      </c>
      <c r="X374">
        <v>0</v>
      </c>
      <c r="Y374">
        <v>0</v>
      </c>
    </row>
    <row r="375" spans="1:25" x14ac:dyDescent="0.25">
      <c r="A375">
        <v>3</v>
      </c>
      <c r="B375" s="1">
        <v>1010</v>
      </c>
      <c r="C375" s="2" t="s">
        <v>36</v>
      </c>
      <c r="D375" s="2">
        <v>100000</v>
      </c>
      <c r="E375" s="2">
        <v>79200</v>
      </c>
      <c r="F375" s="1">
        <v>50</v>
      </c>
      <c r="G375" s="1">
        <v>13</v>
      </c>
      <c r="H375" s="2" t="s">
        <v>26</v>
      </c>
      <c r="J375" s="2" t="s">
        <v>26</v>
      </c>
      <c r="K375" s="2">
        <v>10000</v>
      </c>
      <c r="L375" s="2" t="s">
        <v>26</v>
      </c>
      <c r="M375" s="1">
        <v>2868</v>
      </c>
      <c r="N375" t="s">
        <v>31</v>
      </c>
      <c r="O375" s="5">
        <f>EDATE(O374,1)</f>
        <v>41091</v>
      </c>
      <c r="P375">
        <v>13</v>
      </c>
      <c r="Q375">
        <v>14</v>
      </c>
      <c r="R375" s="2">
        <f>IPMT((0.1/12),13,50,-100000,20000,0)</f>
        <v>697.59268849162856</v>
      </c>
      <c r="S375">
        <v>50</v>
      </c>
      <c r="T375" s="2">
        <v>697.59268849162856</v>
      </c>
      <c r="U375" t="s">
        <v>29</v>
      </c>
      <c r="V375" t="s">
        <v>29</v>
      </c>
      <c r="W375">
        <v>0</v>
      </c>
      <c r="X375">
        <v>0</v>
      </c>
      <c r="Y375">
        <v>0</v>
      </c>
    </row>
    <row r="376" spans="1:25" x14ac:dyDescent="0.25">
      <c r="A376">
        <v>3</v>
      </c>
      <c r="B376" s="1">
        <v>1010</v>
      </c>
      <c r="C376" s="2" t="s">
        <v>36</v>
      </c>
      <c r="D376" s="2">
        <v>100000</v>
      </c>
      <c r="E376" s="2">
        <v>77600</v>
      </c>
      <c r="F376" s="1">
        <v>50</v>
      </c>
      <c r="G376" s="1">
        <v>14</v>
      </c>
      <c r="H376" s="2" t="s">
        <v>26</v>
      </c>
      <c r="J376" s="2" t="s">
        <v>26</v>
      </c>
      <c r="K376" s="2">
        <v>10000</v>
      </c>
      <c r="L376" s="2" t="s">
        <v>26</v>
      </c>
      <c r="M376" s="1">
        <v>2868</v>
      </c>
      <c r="N376" t="s">
        <v>31</v>
      </c>
      <c r="O376" s="5">
        <f>EDATE(O375,1)</f>
        <v>41122</v>
      </c>
      <c r="P376">
        <v>14</v>
      </c>
      <c r="Q376">
        <v>15</v>
      </c>
      <c r="R376" s="2">
        <f>IPMT((0.1/12),14,50,-100000,20000,0)</f>
        <v>685.65892926719653</v>
      </c>
      <c r="S376">
        <v>50</v>
      </c>
      <c r="T376" s="2">
        <v>685.65892926719653</v>
      </c>
      <c r="U376" t="s">
        <v>29</v>
      </c>
      <c r="V376" t="s">
        <v>29</v>
      </c>
      <c r="W376">
        <v>0</v>
      </c>
      <c r="X376">
        <v>0</v>
      </c>
      <c r="Y376">
        <v>0</v>
      </c>
    </row>
    <row r="377" spans="1:25" x14ac:dyDescent="0.25">
      <c r="A377">
        <v>3</v>
      </c>
      <c r="B377" s="1">
        <v>1010</v>
      </c>
      <c r="C377" s="2" t="s">
        <v>36</v>
      </c>
      <c r="D377" s="2">
        <v>100000</v>
      </c>
      <c r="E377" s="2">
        <v>76000</v>
      </c>
      <c r="F377" s="1">
        <v>50</v>
      </c>
      <c r="G377" s="1">
        <v>15</v>
      </c>
      <c r="H377" s="2" t="s">
        <v>26</v>
      </c>
      <c r="J377" s="2" t="s">
        <v>26</v>
      </c>
      <c r="K377" s="2">
        <v>10000</v>
      </c>
      <c r="L377" s="2" t="s">
        <v>26</v>
      </c>
      <c r="M377" s="1">
        <v>2868</v>
      </c>
      <c r="N377" t="s">
        <v>31</v>
      </c>
      <c r="O377" s="5">
        <f>EDATE(O376,1)</f>
        <v>41153</v>
      </c>
      <c r="P377">
        <v>15</v>
      </c>
      <c r="Q377">
        <v>16</v>
      </c>
      <c r="R377" s="2">
        <f>IPMT((0.1/12),15,50,-100000,20000,0)</f>
        <v>673.62572204922753</v>
      </c>
      <c r="S377">
        <v>50</v>
      </c>
      <c r="T377" s="2">
        <v>673.62572204922753</v>
      </c>
      <c r="U377" t="s">
        <v>29</v>
      </c>
      <c r="V377" t="s">
        <v>29</v>
      </c>
      <c r="W377">
        <v>0</v>
      </c>
      <c r="X377">
        <v>0</v>
      </c>
      <c r="Y377">
        <v>0</v>
      </c>
    </row>
    <row r="378" spans="1:25" x14ac:dyDescent="0.25">
      <c r="A378">
        <v>3</v>
      </c>
      <c r="B378" s="1">
        <v>1010</v>
      </c>
      <c r="C378" s="2" t="s">
        <v>36</v>
      </c>
      <c r="D378" s="2">
        <v>100000</v>
      </c>
      <c r="E378" s="2">
        <v>74400</v>
      </c>
      <c r="F378" s="1">
        <v>50</v>
      </c>
      <c r="G378" s="1">
        <v>16</v>
      </c>
      <c r="H378" s="2" t="s">
        <v>26</v>
      </c>
      <c r="J378" s="2" t="s">
        <v>26</v>
      </c>
      <c r="K378" s="2">
        <v>10000</v>
      </c>
      <c r="L378" s="2" t="s">
        <v>26</v>
      </c>
      <c r="M378" s="1">
        <v>2868</v>
      </c>
      <c r="N378" t="s">
        <v>31</v>
      </c>
      <c r="O378" s="5">
        <f>EDATE(O377,1)</f>
        <v>41183</v>
      </c>
      <c r="P378">
        <v>16</v>
      </c>
      <c r="Q378">
        <v>17</v>
      </c>
      <c r="R378" s="2">
        <f>IPMT((0.1/12),16,50,-100000,20000,0)</f>
        <v>661.49223810444209</v>
      </c>
      <c r="S378">
        <v>50</v>
      </c>
      <c r="T378" s="2">
        <v>661.49223810444209</v>
      </c>
      <c r="U378" t="s">
        <v>29</v>
      </c>
      <c r="V378" t="s">
        <v>29</v>
      </c>
      <c r="W378">
        <v>0</v>
      </c>
      <c r="X378">
        <v>0</v>
      </c>
      <c r="Y378">
        <v>0</v>
      </c>
    </row>
    <row r="379" spans="1:25" x14ac:dyDescent="0.25">
      <c r="A379">
        <v>3</v>
      </c>
      <c r="B379" s="1">
        <v>1010</v>
      </c>
      <c r="C379" s="2" t="s">
        <v>36</v>
      </c>
      <c r="D379" s="2">
        <v>100000</v>
      </c>
      <c r="E379" s="2">
        <v>72800</v>
      </c>
      <c r="F379" s="1">
        <v>50</v>
      </c>
      <c r="G379" s="1">
        <v>17</v>
      </c>
      <c r="H379" s="2" t="s">
        <v>26</v>
      </c>
      <c r="J379" s="2" t="s">
        <v>26</v>
      </c>
      <c r="K379" s="2">
        <v>10000</v>
      </c>
      <c r="L379" s="2" t="s">
        <v>26</v>
      </c>
      <c r="M379" s="1">
        <v>2868</v>
      </c>
      <c r="N379" t="s">
        <v>31</v>
      </c>
      <c r="O379" s="5">
        <f>EDATE(O378,1)</f>
        <v>41214</v>
      </c>
      <c r="P379">
        <v>17</v>
      </c>
      <c r="Q379">
        <v>18</v>
      </c>
      <c r="R379" s="2">
        <f>IPMT((0.1/12),17,50,-100000,20000,0)</f>
        <v>649.25764179345015</v>
      </c>
      <c r="S379">
        <v>50</v>
      </c>
      <c r="T379" s="2">
        <v>649.25764179345015</v>
      </c>
      <c r="U379" t="s">
        <v>29</v>
      </c>
      <c r="V379" t="s">
        <v>29</v>
      </c>
      <c r="W379">
        <v>0</v>
      </c>
      <c r="X379">
        <v>0</v>
      </c>
      <c r="Y379">
        <v>0</v>
      </c>
    </row>
    <row r="380" spans="1:25" x14ac:dyDescent="0.25">
      <c r="A380">
        <v>3</v>
      </c>
      <c r="B380" s="1">
        <v>1010</v>
      </c>
      <c r="C380" s="2" t="s">
        <v>36</v>
      </c>
      <c r="D380" s="2">
        <v>100000</v>
      </c>
      <c r="E380" s="2">
        <v>71200</v>
      </c>
      <c r="F380" s="1">
        <v>50</v>
      </c>
      <c r="G380" s="1">
        <v>18</v>
      </c>
      <c r="H380" s="2" t="s">
        <v>26</v>
      </c>
      <c r="J380" s="2" t="s">
        <v>26</v>
      </c>
      <c r="K380" s="2">
        <v>10000</v>
      </c>
      <c r="L380" s="2" t="s">
        <v>26</v>
      </c>
      <c r="M380" s="1">
        <v>2868</v>
      </c>
      <c r="N380" t="s">
        <v>31</v>
      </c>
      <c r="O380" s="5">
        <f>EDATE(O379,1)</f>
        <v>41244</v>
      </c>
      <c r="P380">
        <v>18</v>
      </c>
      <c r="Q380">
        <v>19</v>
      </c>
      <c r="R380" s="2">
        <f>IPMT((0.1/12),18,50,-100000,20000,0)</f>
        <v>636.92109051319983</v>
      </c>
      <c r="S380">
        <v>50</v>
      </c>
      <c r="T380" s="2">
        <v>636.92109051319983</v>
      </c>
      <c r="U380" t="s">
        <v>29</v>
      </c>
      <c r="V380" t="s">
        <v>29</v>
      </c>
      <c r="W380">
        <v>0</v>
      </c>
      <c r="X380">
        <v>0</v>
      </c>
      <c r="Y380">
        <v>0</v>
      </c>
    </row>
    <row r="381" spans="1:25" x14ac:dyDescent="0.25">
      <c r="A381">
        <v>3</v>
      </c>
      <c r="B381" s="1">
        <v>1010</v>
      </c>
      <c r="C381" s="2" t="s">
        <v>36</v>
      </c>
      <c r="D381" s="2">
        <v>100000</v>
      </c>
      <c r="E381" s="2">
        <v>69600</v>
      </c>
      <c r="F381" s="1">
        <v>50</v>
      </c>
      <c r="G381" s="1">
        <v>19</v>
      </c>
      <c r="H381" s="2" t="s">
        <v>26</v>
      </c>
      <c r="J381" s="2" t="s">
        <v>26</v>
      </c>
      <c r="K381" s="2">
        <v>10000</v>
      </c>
      <c r="L381" s="2" t="s">
        <v>26</v>
      </c>
      <c r="M381" s="1">
        <v>2868</v>
      </c>
      <c r="N381" t="s">
        <v>31</v>
      </c>
      <c r="O381" s="5">
        <f>EDATE(O380,1)</f>
        <v>41275</v>
      </c>
      <c r="P381">
        <v>19</v>
      </c>
      <c r="Q381">
        <v>20</v>
      </c>
      <c r="R381" s="2">
        <f>IPMT((0.1/12),19,50,-100000,20000,0)</f>
        <v>624.4817346389475</v>
      </c>
      <c r="S381">
        <v>50</v>
      </c>
      <c r="T381" s="2">
        <v>624.4817346389475</v>
      </c>
      <c r="U381" t="s">
        <v>29</v>
      </c>
      <c r="V381" t="s">
        <v>29</v>
      </c>
      <c r="W381">
        <v>0</v>
      </c>
      <c r="X381">
        <v>0</v>
      </c>
      <c r="Y381">
        <v>0</v>
      </c>
    </row>
    <row r="382" spans="1:25" x14ac:dyDescent="0.25">
      <c r="A382">
        <v>3</v>
      </c>
      <c r="B382" s="1">
        <v>1010</v>
      </c>
      <c r="C382" s="2" t="s">
        <v>36</v>
      </c>
      <c r="D382" s="2">
        <v>100000</v>
      </c>
      <c r="E382" s="2">
        <v>68000</v>
      </c>
      <c r="F382" s="1">
        <v>50</v>
      </c>
      <c r="G382" s="1">
        <v>20</v>
      </c>
      <c r="H382" s="2" t="s">
        <v>26</v>
      </c>
      <c r="J382" s="2" t="s">
        <v>26</v>
      </c>
      <c r="K382" s="2">
        <v>10000</v>
      </c>
      <c r="L382" s="2" t="s">
        <v>26</v>
      </c>
      <c r="M382" s="1">
        <v>2868</v>
      </c>
      <c r="N382" t="s">
        <v>31</v>
      </c>
      <c r="O382" s="5">
        <f>EDATE(O381,1)</f>
        <v>41306</v>
      </c>
      <c r="P382">
        <v>20</v>
      </c>
      <c r="Q382">
        <v>21</v>
      </c>
      <c r="R382" s="2">
        <f>IPMT((0.1/12),20,50,-100000,20000,0)</f>
        <v>611.93871746574303</v>
      </c>
      <c r="S382">
        <v>50</v>
      </c>
      <c r="T382" s="2">
        <v>611.93871746574303</v>
      </c>
      <c r="U382" t="s">
        <v>29</v>
      </c>
      <c r="V382" t="s">
        <v>29</v>
      </c>
      <c r="W382">
        <v>0</v>
      </c>
      <c r="X382">
        <v>0</v>
      </c>
      <c r="Y382">
        <v>0</v>
      </c>
    </row>
    <row r="383" spans="1:25" x14ac:dyDescent="0.25">
      <c r="A383">
        <v>3</v>
      </c>
      <c r="B383" s="1">
        <v>1010</v>
      </c>
      <c r="C383" s="2" t="s">
        <v>36</v>
      </c>
      <c r="D383" s="2">
        <v>100000</v>
      </c>
      <c r="E383" s="2">
        <v>66400</v>
      </c>
      <c r="F383" s="1">
        <v>50</v>
      </c>
      <c r="G383" s="1">
        <v>21</v>
      </c>
      <c r="H383" s="2" t="s">
        <v>26</v>
      </c>
      <c r="J383" s="2" t="s">
        <v>26</v>
      </c>
      <c r="K383" s="2">
        <v>10000</v>
      </c>
      <c r="L383" s="2" t="s">
        <v>26</v>
      </c>
      <c r="M383" s="1">
        <v>2868</v>
      </c>
      <c r="N383" t="s">
        <v>31</v>
      </c>
      <c r="O383" s="5">
        <f>EDATE(O382,1)</f>
        <v>41334</v>
      </c>
      <c r="P383">
        <v>21</v>
      </c>
      <c r="Q383">
        <v>22</v>
      </c>
      <c r="R383" s="2">
        <f>IPMT((0.1/12),21,50,-100000,20000,0)</f>
        <v>599.29117514942845</v>
      </c>
      <c r="S383">
        <v>50</v>
      </c>
      <c r="T383" s="2">
        <v>599.29117514942845</v>
      </c>
      <c r="U383" t="s">
        <v>29</v>
      </c>
      <c r="V383" t="s">
        <v>29</v>
      </c>
      <c r="W383">
        <v>0</v>
      </c>
      <c r="X383">
        <v>0</v>
      </c>
      <c r="Y383">
        <v>0</v>
      </c>
    </row>
    <row r="384" spans="1:25" x14ac:dyDescent="0.25">
      <c r="A384">
        <v>3</v>
      </c>
      <c r="B384" s="1">
        <v>1010</v>
      </c>
      <c r="C384" s="2" t="s">
        <v>36</v>
      </c>
      <c r="D384" s="2">
        <v>100000</v>
      </c>
      <c r="E384" s="2">
        <v>64800</v>
      </c>
      <c r="F384" s="1">
        <v>50</v>
      </c>
      <c r="G384" s="1">
        <v>22</v>
      </c>
      <c r="H384" s="2" t="s">
        <v>26</v>
      </c>
      <c r="J384" s="2" t="s">
        <v>26</v>
      </c>
      <c r="K384" s="2">
        <v>10000</v>
      </c>
      <c r="L384" s="2" t="s">
        <v>26</v>
      </c>
      <c r="M384" s="1">
        <v>2868</v>
      </c>
      <c r="N384" t="s">
        <v>31</v>
      </c>
      <c r="O384" s="5">
        <f>EDATE(O383,1)</f>
        <v>41365</v>
      </c>
      <c r="P384">
        <v>22</v>
      </c>
      <c r="Q384">
        <v>23</v>
      </c>
      <c r="R384" s="2">
        <f>IPMT((0.1/12),22,50,-100000,20000,0)</f>
        <v>586.5382366471448</v>
      </c>
      <c r="S384">
        <v>50</v>
      </c>
      <c r="T384" s="2">
        <v>586.5382366471448</v>
      </c>
      <c r="U384" t="s">
        <v>29</v>
      </c>
      <c r="V384" t="s">
        <v>29</v>
      </c>
      <c r="W384">
        <v>0</v>
      </c>
      <c r="X384">
        <v>0</v>
      </c>
      <c r="Y384">
        <v>0</v>
      </c>
    </row>
    <row r="385" spans="1:25" x14ac:dyDescent="0.25">
      <c r="A385">
        <v>3</v>
      </c>
      <c r="B385" s="1">
        <v>1010</v>
      </c>
      <c r="C385" s="2" t="s">
        <v>36</v>
      </c>
      <c r="D385" s="2">
        <v>100000</v>
      </c>
      <c r="E385" s="2">
        <v>63200</v>
      </c>
      <c r="F385" s="1">
        <v>50</v>
      </c>
      <c r="G385" s="1">
        <v>23</v>
      </c>
      <c r="H385" s="2" t="s">
        <v>26</v>
      </c>
      <c r="J385" s="2" t="s">
        <v>26</v>
      </c>
      <c r="K385" s="2">
        <v>10000</v>
      </c>
      <c r="L385" s="2" t="s">
        <v>26</v>
      </c>
      <c r="M385" s="1">
        <v>2868</v>
      </c>
      <c r="N385" t="s">
        <v>31</v>
      </c>
      <c r="O385" s="5">
        <f>EDATE(O384,1)</f>
        <v>41395</v>
      </c>
      <c r="P385">
        <v>23</v>
      </c>
      <c r="Q385">
        <v>24</v>
      </c>
      <c r="R385" s="2">
        <f>IPMT((0.1/12),23,50,-100000,20000,0)</f>
        <v>573.67902365734187</v>
      </c>
      <c r="S385">
        <v>50</v>
      </c>
      <c r="T385" s="2">
        <v>573.67902365734187</v>
      </c>
      <c r="U385" t="s">
        <v>29</v>
      </c>
      <c r="V385" t="s">
        <v>29</v>
      </c>
      <c r="W385">
        <v>0</v>
      </c>
      <c r="X385">
        <v>0</v>
      </c>
      <c r="Y385">
        <v>0</v>
      </c>
    </row>
    <row r="386" spans="1:25" x14ac:dyDescent="0.25">
      <c r="A386">
        <v>3</v>
      </c>
      <c r="B386" s="1">
        <v>1010</v>
      </c>
      <c r="C386" s="2" t="s">
        <v>36</v>
      </c>
      <c r="D386" s="2">
        <v>100000</v>
      </c>
      <c r="E386" s="2">
        <v>61600</v>
      </c>
      <c r="F386" s="1">
        <v>50</v>
      </c>
      <c r="G386" s="1">
        <v>24</v>
      </c>
      <c r="H386" s="2" t="s">
        <v>26</v>
      </c>
      <c r="J386" s="2" t="s">
        <v>26</v>
      </c>
      <c r="K386" s="2">
        <v>10000</v>
      </c>
      <c r="L386" s="2" t="s">
        <v>26</v>
      </c>
      <c r="M386" s="1">
        <v>2868</v>
      </c>
      <c r="N386" t="s">
        <v>31</v>
      </c>
      <c r="O386" s="5">
        <f>EDATE(O385,1)</f>
        <v>41426</v>
      </c>
      <c r="P386">
        <v>24</v>
      </c>
      <c r="Q386">
        <v>25</v>
      </c>
      <c r="R386" s="2">
        <f>IPMT((0.1/12),24,50,-100000,20000,0)</f>
        <v>560.71265055929086</v>
      </c>
      <c r="S386">
        <v>50</v>
      </c>
      <c r="T386" s="2">
        <v>560.71265055929086</v>
      </c>
      <c r="U386" t="s">
        <v>29</v>
      </c>
      <c r="V386" t="s">
        <v>29</v>
      </c>
      <c r="W386">
        <v>0</v>
      </c>
      <c r="X386">
        <v>0</v>
      </c>
      <c r="Y386">
        <v>0</v>
      </c>
    </row>
    <row r="387" spans="1:25" x14ac:dyDescent="0.25">
      <c r="A387">
        <v>3</v>
      </c>
      <c r="B387" s="1">
        <v>1010</v>
      </c>
      <c r="C387" s="2" t="s">
        <v>36</v>
      </c>
      <c r="D387" s="2">
        <v>100000</v>
      </c>
      <c r="E387" s="2">
        <v>60000</v>
      </c>
      <c r="F387" s="1">
        <v>50</v>
      </c>
      <c r="G387" s="1">
        <v>25</v>
      </c>
      <c r="H387" s="2" t="s">
        <v>26</v>
      </c>
      <c r="J387" s="2" t="s">
        <v>26</v>
      </c>
      <c r="K387" s="2">
        <v>10000</v>
      </c>
      <c r="L387" s="2" t="s">
        <v>26</v>
      </c>
      <c r="M387" s="1">
        <v>2868</v>
      </c>
      <c r="N387" t="s">
        <v>31</v>
      </c>
      <c r="O387" s="5">
        <f>EDATE(O386,1)</f>
        <v>41456</v>
      </c>
      <c r="P387">
        <v>25</v>
      </c>
      <c r="Q387">
        <v>26</v>
      </c>
      <c r="R387" s="2">
        <f>IPMT((0.1/12),25,50,-100000,20000,0)</f>
        <v>547.63822435208931</v>
      </c>
      <c r="S387">
        <v>50</v>
      </c>
      <c r="T387" s="2">
        <v>547.63822435208931</v>
      </c>
      <c r="U387" t="s">
        <v>29</v>
      </c>
      <c r="V387" t="s">
        <v>29</v>
      </c>
      <c r="W387">
        <v>0</v>
      </c>
      <c r="X387">
        <v>0</v>
      </c>
      <c r="Y387">
        <v>0</v>
      </c>
    </row>
    <row r="388" spans="1:25" x14ac:dyDescent="0.25">
      <c r="A388">
        <v>3</v>
      </c>
      <c r="B388" s="1">
        <v>1010</v>
      </c>
      <c r="C388" s="2" t="s">
        <v>36</v>
      </c>
      <c r="D388" s="2">
        <v>100000</v>
      </c>
      <c r="E388" s="2">
        <v>58400</v>
      </c>
      <c r="F388" s="1">
        <v>50</v>
      </c>
      <c r="G388" s="1">
        <v>26</v>
      </c>
      <c r="H388" s="2" t="s">
        <v>26</v>
      </c>
      <c r="J388" s="2" t="s">
        <v>26</v>
      </c>
      <c r="K388" s="2">
        <v>10000</v>
      </c>
      <c r="L388" s="2" t="s">
        <v>26</v>
      </c>
      <c r="M388" s="1">
        <v>2868</v>
      </c>
      <c r="N388" t="s">
        <v>31</v>
      </c>
      <c r="O388" s="5">
        <f>EDATE(O387,1)</f>
        <v>41487</v>
      </c>
      <c r="P388">
        <v>26</v>
      </c>
      <c r="Q388">
        <v>27</v>
      </c>
      <c r="R388" s="2">
        <f>IPMT((0.1/12),26,50,-100000,20000,0)</f>
        <v>534.45484459316094</v>
      </c>
      <c r="S388">
        <v>50</v>
      </c>
      <c r="T388" s="2">
        <v>534.45484459316094</v>
      </c>
      <c r="U388" t="s">
        <v>29</v>
      </c>
      <c r="V388" t="s">
        <v>29</v>
      </c>
      <c r="W388">
        <v>0</v>
      </c>
      <c r="X388">
        <v>0</v>
      </c>
      <c r="Y388">
        <v>0</v>
      </c>
    </row>
    <row r="389" spans="1:25" x14ac:dyDescent="0.25">
      <c r="A389">
        <v>3</v>
      </c>
      <c r="B389" s="1">
        <v>1010</v>
      </c>
      <c r="C389" s="2" t="s">
        <v>36</v>
      </c>
      <c r="D389" s="2">
        <v>100000</v>
      </c>
      <c r="E389" s="2">
        <v>56800</v>
      </c>
      <c r="F389" s="1">
        <v>50</v>
      </c>
      <c r="G389" s="1">
        <v>27</v>
      </c>
      <c r="H389" s="2" t="s">
        <v>26</v>
      </c>
      <c r="J389" s="2" t="s">
        <v>26</v>
      </c>
      <c r="K389" s="2">
        <v>10000</v>
      </c>
      <c r="L389" s="2" t="s">
        <v>26</v>
      </c>
      <c r="M389" s="1">
        <v>2868</v>
      </c>
      <c r="N389" t="s">
        <v>31</v>
      </c>
      <c r="O389" s="5">
        <f>EDATE(O388,1)</f>
        <v>41518</v>
      </c>
      <c r="P389">
        <v>27</v>
      </c>
      <c r="Q389">
        <v>28</v>
      </c>
      <c r="R389" s="2">
        <f>IPMT((0.1/12),27,50,-100000,20000,0)</f>
        <v>521.16160333624157</v>
      </c>
      <c r="S389">
        <v>50</v>
      </c>
      <c r="T389" s="2">
        <v>521.16160333624157</v>
      </c>
      <c r="U389" t="s">
        <v>29</v>
      </c>
      <c r="V389" t="s">
        <v>29</v>
      </c>
      <c r="W389">
        <v>0</v>
      </c>
      <c r="X389">
        <v>0</v>
      </c>
      <c r="Y389">
        <v>0</v>
      </c>
    </row>
    <row r="390" spans="1:25" x14ac:dyDescent="0.25">
      <c r="A390">
        <v>3</v>
      </c>
      <c r="B390" s="1">
        <v>1010</v>
      </c>
      <c r="C390" s="2" t="s">
        <v>36</v>
      </c>
      <c r="D390" s="2">
        <v>100000</v>
      </c>
      <c r="E390" s="2">
        <v>55200</v>
      </c>
      <c r="F390" s="1">
        <v>50</v>
      </c>
      <c r="G390" s="1">
        <v>28</v>
      </c>
      <c r="H390" s="2" t="s">
        <v>26</v>
      </c>
      <c r="J390" s="2" t="s">
        <v>26</v>
      </c>
      <c r="K390" s="2">
        <v>10000</v>
      </c>
      <c r="L390" s="2" t="s">
        <v>26</v>
      </c>
      <c r="M390" s="1">
        <v>2868</v>
      </c>
      <c r="N390" t="s">
        <v>31</v>
      </c>
      <c r="O390" s="5">
        <f>EDATE(O389,1)</f>
        <v>41548</v>
      </c>
      <c r="P390">
        <v>28</v>
      </c>
      <c r="Q390">
        <v>29</v>
      </c>
      <c r="R390" s="2">
        <f>IPMT((0.1/12),28,50,-100000,20000,0)</f>
        <v>507.75758506884802</v>
      </c>
      <c r="S390">
        <v>50</v>
      </c>
      <c r="T390" s="2">
        <v>507.75758506884802</v>
      </c>
      <c r="U390" t="s">
        <v>29</v>
      </c>
      <c r="V390" t="s">
        <v>29</v>
      </c>
      <c r="W390">
        <v>0</v>
      </c>
      <c r="X390">
        <v>0</v>
      </c>
      <c r="Y390">
        <v>0</v>
      </c>
    </row>
    <row r="391" spans="1:25" x14ac:dyDescent="0.25">
      <c r="A391">
        <v>3</v>
      </c>
      <c r="B391" s="1">
        <v>1010</v>
      </c>
      <c r="C391" s="2" t="s">
        <v>36</v>
      </c>
      <c r="D391" s="2">
        <v>100000</v>
      </c>
      <c r="E391" s="2">
        <v>53600</v>
      </c>
      <c r="F391" s="1">
        <v>50</v>
      </c>
      <c r="G391" s="1">
        <v>29</v>
      </c>
      <c r="H391" s="2" t="s">
        <v>26</v>
      </c>
      <c r="J391" s="2" t="s">
        <v>26</v>
      </c>
      <c r="K391" s="2">
        <v>10000</v>
      </c>
      <c r="L391" s="2" t="s">
        <v>26</v>
      </c>
      <c r="M391" s="1">
        <v>2868</v>
      </c>
      <c r="N391" t="s">
        <v>31</v>
      </c>
      <c r="O391" s="5">
        <f>EDATE(O390,1)</f>
        <v>41579</v>
      </c>
      <c r="P391">
        <v>29</v>
      </c>
      <c r="Q391">
        <v>30</v>
      </c>
      <c r="R391" s="2">
        <f>IPMT((0.1/12),29,50,-100000,20000,0)</f>
        <v>494.24186664922604</v>
      </c>
      <c r="S391">
        <v>50</v>
      </c>
      <c r="T391" s="2">
        <v>494.24186664922604</v>
      </c>
      <c r="U391" t="s">
        <v>29</v>
      </c>
      <c r="V391" t="s">
        <v>29</v>
      </c>
      <c r="W391">
        <v>0</v>
      </c>
      <c r="X391">
        <v>0</v>
      </c>
      <c r="Y391">
        <v>0</v>
      </c>
    </row>
    <row r="392" spans="1:25" x14ac:dyDescent="0.25">
      <c r="A392">
        <v>3</v>
      </c>
      <c r="B392" s="1">
        <v>1010</v>
      </c>
      <c r="C392" s="2" t="s">
        <v>36</v>
      </c>
      <c r="D392" s="2">
        <v>100000</v>
      </c>
      <c r="E392" s="2">
        <v>52000</v>
      </c>
      <c r="F392" s="1">
        <v>50</v>
      </c>
      <c r="G392" s="1">
        <v>30</v>
      </c>
      <c r="H392" s="2" t="s">
        <v>26</v>
      </c>
      <c r="J392" s="2" t="s">
        <v>26</v>
      </c>
      <c r="K392" s="2">
        <v>10000</v>
      </c>
      <c r="L392" s="2" t="s">
        <v>26</v>
      </c>
      <c r="M392" s="1">
        <v>2868</v>
      </c>
      <c r="N392" t="s">
        <v>31</v>
      </c>
      <c r="O392" s="5">
        <f>EDATE(O391,1)</f>
        <v>41609</v>
      </c>
      <c r="P392">
        <v>30</v>
      </c>
      <c r="Q392">
        <v>31</v>
      </c>
      <c r="R392" s="2">
        <f>IPMT((0.1/12),30,50,-100000,20000,0)</f>
        <v>480.61351724277392</v>
      </c>
      <c r="S392">
        <v>50</v>
      </c>
      <c r="T392" s="2">
        <v>480.61351724277392</v>
      </c>
      <c r="U392" t="s">
        <v>29</v>
      </c>
      <c r="V392" t="s">
        <v>29</v>
      </c>
      <c r="W392">
        <v>0</v>
      </c>
      <c r="X392">
        <v>0</v>
      </c>
      <c r="Y392">
        <v>0</v>
      </c>
    </row>
    <row r="393" spans="1:25" x14ac:dyDescent="0.25">
      <c r="A393">
        <v>3</v>
      </c>
      <c r="B393" s="1">
        <v>1010</v>
      </c>
      <c r="C393" s="2" t="s">
        <v>36</v>
      </c>
      <c r="D393" s="2">
        <v>100000</v>
      </c>
      <c r="E393" s="2">
        <v>50400</v>
      </c>
      <c r="F393" s="1">
        <v>50</v>
      </c>
      <c r="G393" s="1">
        <v>31</v>
      </c>
      <c r="H393" s="2" t="s">
        <v>26</v>
      </c>
      <c r="J393" s="2" t="s">
        <v>26</v>
      </c>
      <c r="K393" s="2">
        <v>10000</v>
      </c>
      <c r="L393" s="2" t="s">
        <v>26</v>
      </c>
      <c r="M393" s="1">
        <v>2868</v>
      </c>
      <c r="N393" t="s">
        <v>31</v>
      </c>
      <c r="O393" s="5">
        <f>EDATE(O392,1)</f>
        <v>41640</v>
      </c>
      <c r="P393">
        <v>31</v>
      </c>
      <c r="Q393">
        <v>32</v>
      </c>
      <c r="R393" s="2">
        <f>IPMT((0.1/12),31,50,-100000,20000,0)</f>
        <v>466.87159825793469</v>
      </c>
      <c r="S393">
        <v>50</v>
      </c>
      <c r="T393" s="2">
        <v>466.87159825793469</v>
      </c>
      <c r="U393" t="s">
        <v>29</v>
      </c>
      <c r="V393" t="s">
        <v>29</v>
      </c>
      <c r="W393">
        <v>0</v>
      </c>
      <c r="X393">
        <v>0</v>
      </c>
      <c r="Y393">
        <v>0</v>
      </c>
    </row>
    <row r="394" spans="1:25" x14ac:dyDescent="0.25">
      <c r="A394">
        <v>3</v>
      </c>
      <c r="B394" s="1">
        <v>1010</v>
      </c>
      <c r="C394" s="2" t="s">
        <v>36</v>
      </c>
      <c r="D394" s="2">
        <v>100000</v>
      </c>
      <c r="E394" s="2">
        <v>48800</v>
      </c>
      <c r="F394" s="1">
        <v>50</v>
      </c>
      <c r="G394" s="1">
        <v>32</v>
      </c>
      <c r="H394" s="2" t="s">
        <v>26</v>
      </c>
      <c r="J394" s="2" t="s">
        <v>26</v>
      </c>
      <c r="K394" s="2">
        <v>10000</v>
      </c>
      <c r="L394" s="2" t="s">
        <v>26</v>
      </c>
      <c r="M394" s="1">
        <v>2868</v>
      </c>
      <c r="N394" t="s">
        <v>31</v>
      </c>
      <c r="O394" s="5">
        <f>EDATE(O393,1)</f>
        <v>41671</v>
      </c>
      <c r="P394">
        <v>32</v>
      </c>
      <c r="Q394">
        <v>33</v>
      </c>
      <c r="R394" s="2">
        <f>IPMT((0.1/12),32,50,-100000,20000,0)</f>
        <v>453.01516328155515</v>
      </c>
      <c r="S394">
        <v>50</v>
      </c>
      <c r="T394" s="2">
        <v>453.01516328155515</v>
      </c>
      <c r="U394" t="s">
        <v>29</v>
      </c>
      <c r="V394" t="s">
        <v>29</v>
      </c>
      <c r="W394">
        <v>0</v>
      </c>
      <c r="X394">
        <v>0</v>
      </c>
      <c r="Y394">
        <v>0</v>
      </c>
    </row>
    <row r="395" spans="1:25" x14ac:dyDescent="0.25">
      <c r="A395">
        <v>3</v>
      </c>
      <c r="B395" s="1">
        <v>1010</v>
      </c>
      <c r="C395" s="2" t="s">
        <v>36</v>
      </c>
      <c r="D395" s="2">
        <v>100000</v>
      </c>
      <c r="E395" s="2">
        <v>47200</v>
      </c>
      <c r="F395" s="1">
        <v>50</v>
      </c>
      <c r="G395" s="1">
        <v>33</v>
      </c>
      <c r="H395" s="2" t="s">
        <v>26</v>
      </c>
      <c r="J395" s="2" t="s">
        <v>26</v>
      </c>
      <c r="K395" s="2">
        <v>10000</v>
      </c>
      <c r="L395" s="2" t="s">
        <v>26</v>
      </c>
      <c r="M395" s="1">
        <v>2868</v>
      </c>
      <c r="N395" t="s">
        <v>31</v>
      </c>
      <c r="O395" s="5">
        <f>EDATE(O394,1)</f>
        <v>41699</v>
      </c>
      <c r="P395">
        <v>33</v>
      </c>
      <c r="Q395">
        <v>34</v>
      </c>
      <c r="R395" s="2">
        <f>IPMT((0.1/12),33,50,-100000,20000,0)</f>
        <v>439.04325801370578</v>
      </c>
      <c r="S395">
        <v>50</v>
      </c>
      <c r="T395" s="2">
        <v>439.04325801370578</v>
      </c>
      <c r="U395" t="s">
        <v>29</v>
      </c>
      <c r="V395" t="s">
        <v>29</v>
      </c>
      <c r="W395">
        <v>0</v>
      </c>
      <c r="X395">
        <v>0</v>
      </c>
      <c r="Y395">
        <v>0</v>
      </c>
    </row>
    <row r="396" spans="1:25" x14ac:dyDescent="0.25">
      <c r="A396">
        <v>3</v>
      </c>
      <c r="B396" s="1">
        <v>1010</v>
      </c>
      <c r="C396" s="2" t="s">
        <v>36</v>
      </c>
      <c r="D396" s="2">
        <v>100000</v>
      </c>
      <c r="E396" s="2">
        <v>45600</v>
      </c>
      <c r="F396" s="1">
        <v>50</v>
      </c>
      <c r="G396" s="1">
        <v>34</v>
      </c>
      <c r="H396" s="2" t="s">
        <v>26</v>
      </c>
      <c r="J396" s="2" t="s">
        <v>26</v>
      </c>
      <c r="K396" s="2">
        <v>10000</v>
      </c>
      <c r="L396" s="2" t="s">
        <v>26</v>
      </c>
      <c r="M396" s="1">
        <v>2868</v>
      </c>
      <c r="N396" t="s">
        <v>31</v>
      </c>
      <c r="O396" s="5">
        <f>EDATE(O395,1)</f>
        <v>41730</v>
      </c>
      <c r="P396">
        <v>34</v>
      </c>
      <c r="Q396">
        <v>35</v>
      </c>
      <c r="R396" s="2">
        <f>IPMT((0.1/12),34,50,-100000,20000,0)</f>
        <v>424.95492020195769</v>
      </c>
      <c r="S396">
        <v>50</v>
      </c>
      <c r="T396" s="2">
        <v>424.95492020195769</v>
      </c>
      <c r="U396" t="s">
        <v>29</v>
      </c>
      <c r="V396" t="s">
        <v>29</v>
      </c>
      <c r="W396">
        <v>0</v>
      </c>
      <c r="X396">
        <v>0</v>
      </c>
      <c r="Y396">
        <v>0</v>
      </c>
    </row>
    <row r="397" spans="1:25" x14ac:dyDescent="0.25">
      <c r="A397">
        <v>3</v>
      </c>
      <c r="B397" s="1">
        <v>1010</v>
      </c>
      <c r="C397" s="2" t="s">
        <v>36</v>
      </c>
      <c r="D397" s="2">
        <v>100000</v>
      </c>
      <c r="E397" s="2">
        <v>44000</v>
      </c>
      <c r="F397" s="1">
        <v>50</v>
      </c>
      <c r="G397" s="1">
        <v>35</v>
      </c>
      <c r="H397" s="2" t="s">
        <v>26</v>
      </c>
      <c r="J397" s="2" t="s">
        <v>26</v>
      </c>
      <c r="K397" s="2">
        <v>10000</v>
      </c>
      <c r="L397" s="2" t="s">
        <v>26</v>
      </c>
      <c r="M397" s="1">
        <v>2868</v>
      </c>
      <c r="N397" t="s">
        <v>31</v>
      </c>
      <c r="O397" s="5">
        <f>EDATE(O396,1)</f>
        <v>41760</v>
      </c>
      <c r="P397">
        <v>35</v>
      </c>
      <c r="Q397">
        <v>36</v>
      </c>
      <c r="R397" s="2">
        <f>IPMT((0.1/12),35,50,-100000,20000,0)</f>
        <v>410.74917957511161</v>
      </c>
      <c r="S397">
        <v>50</v>
      </c>
      <c r="T397" s="2">
        <v>410.74917957511161</v>
      </c>
      <c r="U397" t="s">
        <v>29</v>
      </c>
      <c r="V397" t="s">
        <v>29</v>
      </c>
      <c r="W397">
        <v>0</v>
      </c>
      <c r="X397">
        <v>0</v>
      </c>
      <c r="Y397">
        <v>0</v>
      </c>
    </row>
    <row r="398" spans="1:25" x14ac:dyDescent="0.25">
      <c r="A398">
        <v>3</v>
      </c>
      <c r="B398" s="1">
        <v>1010</v>
      </c>
      <c r="C398" s="2" t="s">
        <v>36</v>
      </c>
      <c r="D398" s="2">
        <v>100000</v>
      </c>
      <c r="E398" s="2">
        <v>42400</v>
      </c>
      <c r="F398" s="1">
        <v>50</v>
      </c>
      <c r="G398" s="1">
        <v>36</v>
      </c>
      <c r="H398" s="2" t="s">
        <v>26</v>
      </c>
      <c r="J398" s="2" t="s">
        <v>26</v>
      </c>
      <c r="K398" s="2">
        <v>10000</v>
      </c>
      <c r="L398" s="2" t="s">
        <v>26</v>
      </c>
      <c r="M398" s="1">
        <v>2868</v>
      </c>
      <c r="N398" t="s">
        <v>31</v>
      </c>
      <c r="O398" s="5">
        <f>EDATE(O397,1)</f>
        <v>41791</v>
      </c>
      <c r="P398">
        <v>36</v>
      </c>
      <c r="Q398">
        <v>37</v>
      </c>
      <c r="R398" s="2">
        <f>IPMT((0.1/12),36,50,-100000,20000,0)</f>
        <v>396.42505777637524</v>
      </c>
      <c r="S398">
        <v>50</v>
      </c>
      <c r="T398" s="2">
        <v>396.42505777637524</v>
      </c>
      <c r="U398" t="s">
        <v>29</v>
      </c>
      <c r="V398" t="s">
        <v>29</v>
      </c>
      <c r="W398">
        <v>0</v>
      </c>
      <c r="X398">
        <v>0</v>
      </c>
      <c r="Y398">
        <v>0</v>
      </c>
    </row>
    <row r="399" spans="1:25" x14ac:dyDescent="0.25">
      <c r="A399">
        <v>3</v>
      </c>
      <c r="B399" s="1">
        <v>1010</v>
      </c>
      <c r="C399" s="2" t="s">
        <v>36</v>
      </c>
      <c r="D399" s="2">
        <v>100000</v>
      </c>
      <c r="E399" s="2">
        <v>40800</v>
      </c>
      <c r="F399" s="1">
        <v>50</v>
      </c>
      <c r="G399" s="1">
        <v>37</v>
      </c>
      <c r="H399" s="2" t="s">
        <v>26</v>
      </c>
      <c r="J399" s="2" t="s">
        <v>26</v>
      </c>
      <c r="K399" s="2">
        <v>10000</v>
      </c>
      <c r="L399" s="2" t="s">
        <v>26</v>
      </c>
      <c r="M399" s="1">
        <v>2868</v>
      </c>
      <c r="N399" t="s">
        <v>31</v>
      </c>
      <c r="O399" s="5">
        <f>EDATE(O398,1)</f>
        <v>41821</v>
      </c>
      <c r="P399">
        <v>37</v>
      </c>
      <c r="Q399">
        <v>38</v>
      </c>
      <c r="R399" s="2">
        <f>IPMT((0.1/12),37,50,-100000,20000,0)</f>
        <v>381.98156829598264</v>
      </c>
      <c r="S399">
        <v>50</v>
      </c>
      <c r="T399" s="2">
        <v>381.98156829598264</v>
      </c>
      <c r="U399" t="s">
        <v>29</v>
      </c>
      <c r="V399" t="s">
        <v>29</v>
      </c>
      <c r="W399">
        <v>0</v>
      </c>
      <c r="X399">
        <v>0</v>
      </c>
      <c r="Y399">
        <v>0</v>
      </c>
    </row>
    <row r="400" spans="1:25" x14ac:dyDescent="0.25">
      <c r="A400">
        <v>3</v>
      </c>
      <c r="B400" s="1">
        <v>1010</v>
      </c>
      <c r="C400" s="2" t="s">
        <v>36</v>
      </c>
      <c r="D400" s="2">
        <v>100000</v>
      </c>
      <c r="E400" s="2">
        <v>39200</v>
      </c>
      <c r="F400" s="1">
        <v>50</v>
      </c>
      <c r="G400" s="1">
        <v>38</v>
      </c>
      <c r="H400" s="2" t="s">
        <v>26</v>
      </c>
      <c r="J400" s="2" t="s">
        <v>26</v>
      </c>
      <c r="K400" s="2">
        <v>10000</v>
      </c>
      <c r="L400" s="2" t="s">
        <v>26</v>
      </c>
      <c r="M400" s="1">
        <v>2868</v>
      </c>
      <c r="N400" t="s">
        <v>31</v>
      </c>
      <c r="O400" s="5">
        <f>EDATE(O399,1)</f>
        <v>41852</v>
      </c>
      <c r="P400">
        <v>38</v>
      </c>
      <c r="Q400">
        <v>39</v>
      </c>
      <c r="R400" s="2">
        <f>IPMT((0.1/12),38,50,-100000,20000,0)</f>
        <v>367.41771640325351</v>
      </c>
      <c r="S400">
        <v>50</v>
      </c>
      <c r="T400" s="2">
        <v>367.41771640325351</v>
      </c>
      <c r="U400" t="s">
        <v>29</v>
      </c>
      <c r="V400" t="s">
        <v>29</v>
      </c>
      <c r="W400">
        <v>0</v>
      </c>
      <c r="X400">
        <v>0</v>
      </c>
      <c r="Y400">
        <v>0</v>
      </c>
    </row>
    <row r="401" spans="1:25" x14ac:dyDescent="0.25">
      <c r="A401">
        <v>3</v>
      </c>
      <c r="B401" s="1">
        <v>1010</v>
      </c>
      <c r="C401" s="2" t="s">
        <v>36</v>
      </c>
      <c r="D401" s="2">
        <v>100000</v>
      </c>
      <c r="E401" s="2">
        <v>37600</v>
      </c>
      <c r="F401" s="1">
        <v>50</v>
      </c>
      <c r="G401" s="1">
        <v>39</v>
      </c>
      <c r="H401" s="2" t="s">
        <v>26</v>
      </c>
      <c r="J401" s="2" t="s">
        <v>26</v>
      </c>
      <c r="K401" s="2">
        <v>10000</v>
      </c>
      <c r="L401" s="2" t="s">
        <v>26</v>
      </c>
      <c r="M401" s="1">
        <v>2868</v>
      </c>
      <c r="N401" t="s">
        <v>31</v>
      </c>
      <c r="O401" s="5">
        <f>EDATE(O400,1)</f>
        <v>41883</v>
      </c>
      <c r="P401">
        <v>39</v>
      </c>
      <c r="Q401">
        <v>40</v>
      </c>
      <c r="R401" s="2">
        <f>IPMT((0.1/12),39,50,-100000,20000,0)</f>
        <v>352.73249907808497</v>
      </c>
      <c r="S401">
        <v>50</v>
      </c>
      <c r="T401" s="2">
        <v>352.73249907808497</v>
      </c>
      <c r="U401" t="s">
        <v>29</v>
      </c>
      <c r="V401" t="s">
        <v>29</v>
      </c>
      <c r="W401">
        <v>0</v>
      </c>
      <c r="X401">
        <v>0</v>
      </c>
      <c r="Y401">
        <v>0</v>
      </c>
    </row>
    <row r="402" spans="1:25" x14ac:dyDescent="0.25">
      <c r="A402">
        <v>3</v>
      </c>
      <c r="B402" s="1">
        <v>1010</v>
      </c>
      <c r="C402" s="2" t="s">
        <v>36</v>
      </c>
      <c r="D402" s="2">
        <v>100000</v>
      </c>
      <c r="E402" s="2">
        <v>36000</v>
      </c>
      <c r="F402" s="1">
        <v>50</v>
      </c>
      <c r="G402" s="1">
        <v>40</v>
      </c>
      <c r="H402" s="2" t="s">
        <v>26</v>
      </c>
      <c r="J402" s="2" t="s">
        <v>26</v>
      </c>
      <c r="K402" s="2">
        <v>10000</v>
      </c>
      <c r="L402" s="2" t="s">
        <v>26</v>
      </c>
      <c r="M402" s="1">
        <v>2868</v>
      </c>
      <c r="N402" t="s">
        <v>31</v>
      </c>
      <c r="O402" s="5">
        <f>EDATE(O401,1)</f>
        <v>41913</v>
      </c>
      <c r="P402">
        <v>40</v>
      </c>
      <c r="Q402">
        <v>41</v>
      </c>
      <c r="R402" s="2">
        <f>IPMT((0.1/12),40,50,-100000,20000,0)</f>
        <v>337.92490494187331</v>
      </c>
      <c r="S402">
        <v>50</v>
      </c>
      <c r="T402" s="2">
        <v>337.92490494187331</v>
      </c>
      <c r="U402" t="s">
        <v>29</v>
      </c>
      <c r="V402" t="s">
        <v>29</v>
      </c>
      <c r="W402">
        <v>0</v>
      </c>
      <c r="X402">
        <v>0</v>
      </c>
      <c r="Y402">
        <v>0</v>
      </c>
    </row>
    <row r="403" spans="1:25" x14ac:dyDescent="0.25">
      <c r="A403">
        <v>3</v>
      </c>
      <c r="B403" s="1">
        <v>1010</v>
      </c>
      <c r="C403" s="2" t="s">
        <v>36</v>
      </c>
      <c r="D403" s="2">
        <v>100000</v>
      </c>
      <c r="E403" s="2">
        <v>34400</v>
      </c>
      <c r="F403" s="1">
        <v>50</v>
      </c>
      <c r="G403" s="1">
        <v>41</v>
      </c>
      <c r="H403" s="2" t="s">
        <v>26</v>
      </c>
      <c r="J403" s="2" t="s">
        <v>26</v>
      </c>
      <c r="K403" s="2">
        <v>10000</v>
      </c>
      <c r="L403" s="2" t="s">
        <v>26</v>
      </c>
      <c r="M403" s="1">
        <v>2868</v>
      </c>
      <c r="N403" t="s">
        <v>31</v>
      </c>
      <c r="O403" s="5">
        <f>EDATE(O402,1)</f>
        <v>41944</v>
      </c>
      <c r="P403">
        <v>41</v>
      </c>
      <c r="Q403">
        <v>42</v>
      </c>
      <c r="R403" s="2">
        <f>IPMT((0.1/12),41,50,-100000,20000,0)</f>
        <v>322.99391418786001</v>
      </c>
      <c r="S403">
        <v>50</v>
      </c>
      <c r="T403" s="2">
        <v>322.99391418786001</v>
      </c>
      <c r="U403" t="s">
        <v>29</v>
      </c>
      <c r="V403" t="s">
        <v>29</v>
      </c>
      <c r="W403">
        <v>0</v>
      </c>
      <c r="X403">
        <v>0</v>
      </c>
      <c r="Y403">
        <v>0</v>
      </c>
    </row>
    <row r="404" spans="1:25" x14ac:dyDescent="0.25">
      <c r="A404">
        <v>3</v>
      </c>
      <c r="B404" s="1">
        <v>1010</v>
      </c>
      <c r="C404" s="2" t="s">
        <v>36</v>
      </c>
      <c r="D404" s="2">
        <v>100000</v>
      </c>
      <c r="E404" s="2">
        <v>32800</v>
      </c>
      <c r="F404" s="1">
        <v>50</v>
      </c>
      <c r="G404" s="1">
        <v>42</v>
      </c>
      <c r="H404" s="2" t="s">
        <v>26</v>
      </c>
      <c r="J404" s="2" t="s">
        <v>26</v>
      </c>
      <c r="K404" s="2">
        <v>10000</v>
      </c>
      <c r="L404" s="2" t="s">
        <v>26</v>
      </c>
      <c r="M404" s="1">
        <v>2868</v>
      </c>
      <c r="N404" t="s">
        <v>31</v>
      </c>
      <c r="O404" s="5">
        <f>EDATE(O403,1)</f>
        <v>41974</v>
      </c>
      <c r="P404">
        <v>42</v>
      </c>
      <c r="Q404">
        <v>43</v>
      </c>
      <c r="R404" s="2">
        <f>IPMT((0.1/12),42,50,-100000,20000,0)</f>
        <v>307.93849851089641</v>
      </c>
      <c r="S404">
        <v>50</v>
      </c>
      <c r="T404" s="2">
        <v>307.93849851089641</v>
      </c>
      <c r="U404" t="s">
        <v>29</v>
      </c>
      <c r="V404" t="s">
        <v>29</v>
      </c>
      <c r="W404">
        <v>0</v>
      </c>
      <c r="X404">
        <v>0</v>
      </c>
      <c r="Y404">
        <v>0</v>
      </c>
    </row>
    <row r="405" spans="1:25" x14ac:dyDescent="0.25">
      <c r="A405">
        <v>3</v>
      </c>
      <c r="B405" s="1">
        <v>1010</v>
      </c>
      <c r="C405" s="2" t="s">
        <v>36</v>
      </c>
      <c r="D405" s="2">
        <v>100000</v>
      </c>
      <c r="E405" s="2">
        <v>31200</v>
      </c>
      <c r="F405" s="1">
        <v>50</v>
      </c>
      <c r="G405" s="1">
        <v>43</v>
      </c>
      <c r="H405" s="2" t="s">
        <v>26</v>
      </c>
      <c r="J405" s="2" t="s">
        <v>26</v>
      </c>
      <c r="K405" s="2">
        <v>10000</v>
      </c>
      <c r="L405" s="2" t="s">
        <v>26</v>
      </c>
      <c r="M405" s="1">
        <v>2868</v>
      </c>
      <c r="N405" t="s">
        <v>31</v>
      </c>
      <c r="O405" s="5">
        <f>EDATE(O404,1)</f>
        <v>42005</v>
      </c>
      <c r="P405">
        <v>43</v>
      </c>
      <c r="Q405">
        <v>44</v>
      </c>
      <c r="R405" s="2">
        <f>IPMT((0.1/12),43,50,-100000,20000,0)</f>
        <v>292.75762103662493</v>
      </c>
      <c r="S405">
        <v>50</v>
      </c>
      <c r="T405" s="2">
        <v>292.75762103662493</v>
      </c>
      <c r="U405" t="s">
        <v>29</v>
      </c>
      <c r="V405" t="s">
        <v>29</v>
      </c>
      <c r="W405">
        <v>0</v>
      </c>
      <c r="X405">
        <v>0</v>
      </c>
      <c r="Y405">
        <v>0</v>
      </c>
    </row>
    <row r="406" spans="1:25" x14ac:dyDescent="0.25">
      <c r="A406">
        <v>3</v>
      </c>
      <c r="B406" s="1">
        <v>1010</v>
      </c>
      <c r="C406" s="2" t="s">
        <v>36</v>
      </c>
      <c r="D406" s="2">
        <v>100000</v>
      </c>
      <c r="E406" s="2">
        <v>29600</v>
      </c>
      <c r="F406" s="1">
        <v>50</v>
      </c>
      <c r="G406" s="1">
        <v>44</v>
      </c>
      <c r="H406" s="2" t="s">
        <v>26</v>
      </c>
      <c r="J406" s="2" t="s">
        <v>26</v>
      </c>
      <c r="K406" s="2">
        <v>10000</v>
      </c>
      <c r="L406" s="2" t="s">
        <v>26</v>
      </c>
      <c r="M406" s="1">
        <v>2868</v>
      </c>
      <c r="N406" t="s">
        <v>31</v>
      </c>
      <c r="O406" s="5">
        <f>EDATE(O405,1)</f>
        <v>42036</v>
      </c>
      <c r="P406">
        <v>44</v>
      </c>
      <c r="Q406">
        <v>45</v>
      </c>
      <c r="R406" s="2">
        <f>IPMT((0.1/12),44,50,-100000,20000,0)</f>
        <v>277.4502362500678</v>
      </c>
      <c r="S406">
        <v>50</v>
      </c>
      <c r="T406" s="2">
        <v>277.4502362500678</v>
      </c>
      <c r="U406" t="s">
        <v>29</v>
      </c>
      <c r="V406" t="s">
        <v>29</v>
      </c>
      <c r="W406">
        <v>0</v>
      </c>
      <c r="X406">
        <v>0</v>
      </c>
      <c r="Y406">
        <v>0</v>
      </c>
    </row>
    <row r="407" spans="1:25" x14ac:dyDescent="0.25">
      <c r="A407">
        <v>3</v>
      </c>
      <c r="B407" s="1">
        <v>1010</v>
      </c>
      <c r="C407" s="2" t="s">
        <v>36</v>
      </c>
      <c r="D407" s="2">
        <v>100000</v>
      </c>
      <c r="E407" s="2">
        <v>28000</v>
      </c>
      <c r="F407" s="1">
        <v>50</v>
      </c>
      <c r="G407" s="1">
        <v>45</v>
      </c>
      <c r="H407" s="2" t="s">
        <v>26</v>
      </c>
      <c r="J407" s="2" t="s">
        <v>26</v>
      </c>
      <c r="K407" s="2">
        <v>10000</v>
      </c>
      <c r="L407" s="2" t="s">
        <v>26</v>
      </c>
      <c r="M407" s="1">
        <v>2868</v>
      </c>
      <c r="N407" t="s">
        <v>31</v>
      </c>
      <c r="O407" s="5">
        <f>EDATE(O406,1)</f>
        <v>42064</v>
      </c>
      <c r="P407">
        <v>45</v>
      </c>
      <c r="Q407">
        <v>46</v>
      </c>
      <c r="R407" s="2">
        <f>IPMT((0.1/12),45,50,-100000,20000,0)</f>
        <v>262.01528992362267</v>
      </c>
      <c r="S407">
        <v>50</v>
      </c>
      <c r="T407" s="2">
        <v>262.01528992362267</v>
      </c>
      <c r="U407" t="s">
        <v>29</v>
      </c>
      <c r="V407" t="s">
        <v>29</v>
      </c>
      <c r="W407">
        <v>0</v>
      </c>
      <c r="X407">
        <v>0</v>
      </c>
      <c r="Y407">
        <v>0</v>
      </c>
    </row>
    <row r="408" spans="1:25" x14ac:dyDescent="0.25">
      <c r="A408">
        <v>3</v>
      </c>
      <c r="B408" s="1">
        <v>1010</v>
      </c>
      <c r="C408" s="2" t="s">
        <v>36</v>
      </c>
      <c r="D408" s="2">
        <v>100000</v>
      </c>
      <c r="E408" s="2">
        <v>26400</v>
      </c>
      <c r="F408" s="1">
        <v>50</v>
      </c>
      <c r="G408" s="1">
        <v>46</v>
      </c>
      <c r="H408" s="2" t="s">
        <v>26</v>
      </c>
      <c r="J408" s="2" t="s">
        <v>26</v>
      </c>
      <c r="K408" s="2">
        <v>10000</v>
      </c>
      <c r="L408" s="2" t="s">
        <v>26</v>
      </c>
      <c r="M408" s="1">
        <v>2868</v>
      </c>
      <c r="N408" t="s">
        <v>31</v>
      </c>
      <c r="O408" s="5">
        <f>EDATE(O407,1)</f>
        <v>42095</v>
      </c>
      <c r="P408">
        <v>46</v>
      </c>
      <c r="Q408">
        <v>47</v>
      </c>
      <c r="R408" s="2">
        <f>IPMT((0.1/12),46,50,-100000,20000,0)</f>
        <v>246.45171904445718</v>
      </c>
      <c r="S408">
        <v>50</v>
      </c>
      <c r="T408" s="2">
        <v>246.45171904445718</v>
      </c>
      <c r="U408" t="s">
        <v>29</v>
      </c>
      <c r="V408" t="s">
        <v>29</v>
      </c>
      <c r="W408">
        <v>0</v>
      </c>
      <c r="X408">
        <v>0</v>
      </c>
      <c r="Y408">
        <v>0</v>
      </c>
    </row>
    <row r="409" spans="1:25" x14ac:dyDescent="0.25">
      <c r="A409">
        <v>3</v>
      </c>
      <c r="B409" s="1">
        <v>1010</v>
      </c>
      <c r="C409" s="2" t="s">
        <v>36</v>
      </c>
      <c r="D409" s="2">
        <v>100000</v>
      </c>
      <c r="E409" s="2">
        <v>24800</v>
      </c>
      <c r="F409" s="1">
        <v>50</v>
      </c>
      <c r="G409" s="1">
        <v>47</v>
      </c>
      <c r="H409" s="2" t="s">
        <v>26</v>
      </c>
      <c r="J409" s="2" t="s">
        <v>26</v>
      </c>
      <c r="K409" s="2">
        <v>10000</v>
      </c>
      <c r="L409" s="2" t="s">
        <v>26</v>
      </c>
      <c r="M409" s="1">
        <v>2868</v>
      </c>
      <c r="N409" t="s">
        <v>31</v>
      </c>
      <c r="O409" s="5">
        <f>EDATE(O408,1)</f>
        <v>42125</v>
      </c>
      <c r="P409">
        <v>47</v>
      </c>
      <c r="Q409">
        <v>48</v>
      </c>
      <c r="R409" s="2">
        <f>IPMT((0.1/12),47,50,-100000,20000,0)</f>
        <v>230.75845174129867</v>
      </c>
      <c r="S409">
        <v>50</v>
      </c>
      <c r="T409" s="2">
        <v>230.75845174129867</v>
      </c>
      <c r="U409" t="s">
        <v>29</v>
      </c>
      <c r="V409" t="s">
        <v>29</v>
      </c>
      <c r="W409">
        <v>0</v>
      </c>
      <c r="X409">
        <v>0</v>
      </c>
      <c r="Y409">
        <v>0</v>
      </c>
    </row>
    <row r="410" spans="1:25" x14ac:dyDescent="0.25">
      <c r="A410">
        <v>3</v>
      </c>
      <c r="B410" s="1">
        <v>1010</v>
      </c>
      <c r="C410" s="2" t="s">
        <v>36</v>
      </c>
      <c r="D410" s="2">
        <v>100000</v>
      </c>
      <c r="E410" s="2">
        <v>23200</v>
      </c>
      <c r="F410" s="1">
        <v>50</v>
      </c>
      <c r="G410" s="1">
        <v>48</v>
      </c>
      <c r="H410" s="2" t="s">
        <v>26</v>
      </c>
      <c r="J410" s="2" t="s">
        <v>26</v>
      </c>
      <c r="K410" s="2">
        <v>10000</v>
      </c>
      <c r="L410" s="2" t="s">
        <v>26</v>
      </c>
      <c r="M410" s="1">
        <v>2868</v>
      </c>
      <c r="N410" t="s">
        <v>31</v>
      </c>
      <c r="O410" s="5">
        <f>EDATE(O409,1)</f>
        <v>42156</v>
      </c>
      <c r="P410">
        <v>48</v>
      </c>
      <c r="Q410">
        <v>49</v>
      </c>
      <c r="R410" s="2">
        <f>IPMT((0.1/12),48,50,-100000,20000,0)</f>
        <v>214.93440721061381</v>
      </c>
      <c r="S410">
        <v>50</v>
      </c>
      <c r="T410" s="2">
        <v>214.93440721061381</v>
      </c>
      <c r="U410" t="s">
        <v>29</v>
      </c>
      <c r="V410" t="s">
        <v>29</v>
      </c>
      <c r="W410">
        <v>0</v>
      </c>
      <c r="X410">
        <v>0</v>
      </c>
      <c r="Y410">
        <v>0</v>
      </c>
    </row>
    <row r="411" spans="1:25" x14ac:dyDescent="0.25">
      <c r="A411">
        <v>3</v>
      </c>
      <c r="B411" s="1">
        <v>1010</v>
      </c>
      <c r="C411" s="2" t="s">
        <v>36</v>
      </c>
      <c r="D411" s="2">
        <v>100000</v>
      </c>
      <c r="E411" s="2">
        <v>21600</v>
      </c>
      <c r="F411" s="1">
        <v>50</v>
      </c>
      <c r="G411" s="1">
        <v>49</v>
      </c>
      <c r="H411" s="2" t="s">
        <v>26</v>
      </c>
      <c r="J411" s="2" t="s">
        <v>26</v>
      </c>
      <c r="K411" s="2">
        <v>10000</v>
      </c>
      <c r="L411" s="2" t="s">
        <v>26</v>
      </c>
      <c r="M411" s="1">
        <v>2868</v>
      </c>
      <c r="N411" t="s">
        <v>31</v>
      </c>
      <c r="O411" s="5">
        <f>EDATE(O410,1)</f>
        <v>42186</v>
      </c>
      <c r="P411">
        <v>49</v>
      </c>
      <c r="Q411">
        <v>50</v>
      </c>
      <c r="R411" s="2">
        <f>IPMT((0.1/12),49,50,-100000,20000,0)</f>
        <v>198.97849564217327</v>
      </c>
      <c r="S411">
        <v>50</v>
      </c>
      <c r="T411" s="2">
        <v>198.97849564217327</v>
      </c>
      <c r="U411" t="s">
        <v>29</v>
      </c>
      <c r="V411" t="s">
        <v>29</v>
      </c>
      <c r="W411">
        <v>0</v>
      </c>
      <c r="X411">
        <v>0</v>
      </c>
      <c r="Y411">
        <v>0</v>
      </c>
    </row>
    <row r="412" spans="1:25" x14ac:dyDescent="0.25">
      <c r="A412">
        <v>3</v>
      </c>
      <c r="B412" s="1">
        <v>1010</v>
      </c>
      <c r="C412" s="2" t="s">
        <v>36</v>
      </c>
      <c r="D412" s="2">
        <v>100000</v>
      </c>
      <c r="E412" s="2">
        <v>20000</v>
      </c>
      <c r="F412" s="1">
        <v>50</v>
      </c>
      <c r="G412" s="1">
        <v>50</v>
      </c>
      <c r="H412" s="2" t="s">
        <v>26</v>
      </c>
      <c r="J412" s="2" t="s">
        <v>26</v>
      </c>
      <c r="K412" s="2">
        <v>10000</v>
      </c>
      <c r="L412" s="2" t="s">
        <v>26</v>
      </c>
      <c r="M412" s="1">
        <v>2868</v>
      </c>
      <c r="N412" t="s">
        <v>31</v>
      </c>
      <c r="O412" s="5">
        <f>EDATE(O411,1)</f>
        <v>42217</v>
      </c>
      <c r="P412">
        <v>50</v>
      </c>
      <c r="Q412">
        <v>51</v>
      </c>
      <c r="R412" s="2">
        <f>IPMT((0.1/12),50,50,-100000,20000,0)</f>
        <v>182.88961814399573</v>
      </c>
      <c r="S412">
        <v>50</v>
      </c>
      <c r="T412" s="2">
        <v>182.88961814399573</v>
      </c>
      <c r="U412" t="s">
        <v>29</v>
      </c>
      <c r="V412" t="s">
        <v>29</v>
      </c>
      <c r="W412">
        <v>0</v>
      </c>
      <c r="X412">
        <v>0</v>
      </c>
      <c r="Y412">
        <v>0</v>
      </c>
    </row>
    <row r="413" spans="1:25" x14ac:dyDescent="0.25">
      <c r="A413">
        <v>3</v>
      </c>
      <c r="B413" s="1">
        <v>1010</v>
      </c>
      <c r="C413" s="2" t="s">
        <v>36</v>
      </c>
      <c r="D413" s="2">
        <v>100000</v>
      </c>
      <c r="E413" s="2">
        <v>18400</v>
      </c>
      <c r="F413" s="1">
        <v>50</v>
      </c>
      <c r="G413" s="1">
        <v>51</v>
      </c>
      <c r="H413" s="2" t="s">
        <v>26</v>
      </c>
      <c r="J413" s="2" t="s">
        <v>26</v>
      </c>
      <c r="K413" s="2">
        <v>10000</v>
      </c>
      <c r="L413" s="2" t="s">
        <v>26</v>
      </c>
      <c r="M413" s="1">
        <v>2868</v>
      </c>
      <c r="N413" t="s">
        <v>31</v>
      </c>
      <c r="O413" s="5">
        <f>EDATE(O412,1)</f>
        <v>42248</v>
      </c>
      <c r="P413">
        <v>51</v>
      </c>
      <c r="Q413">
        <v>999</v>
      </c>
      <c r="S413">
        <v>50</v>
      </c>
      <c r="T413" s="2">
        <v>0</v>
      </c>
      <c r="U413" t="s">
        <v>29</v>
      </c>
      <c r="V413" t="s">
        <v>29</v>
      </c>
      <c r="W413">
        <v>0</v>
      </c>
      <c r="X413">
        <v>0</v>
      </c>
      <c r="Y413">
        <v>0</v>
      </c>
    </row>
    <row r="414" spans="1:25" x14ac:dyDescent="0.25">
      <c r="A414">
        <v>3</v>
      </c>
      <c r="B414" s="1">
        <v>1010</v>
      </c>
      <c r="C414" s="2" t="s">
        <v>36</v>
      </c>
      <c r="D414" s="2">
        <v>100000</v>
      </c>
      <c r="E414" s="2">
        <v>98400</v>
      </c>
      <c r="F414" s="1">
        <v>50</v>
      </c>
      <c r="G414" s="1">
        <v>1</v>
      </c>
      <c r="H414" s="2" t="s">
        <v>26</v>
      </c>
      <c r="J414" s="2" t="s">
        <v>26</v>
      </c>
      <c r="K414" s="2">
        <v>10000</v>
      </c>
      <c r="L414" s="2" t="s">
        <v>26</v>
      </c>
      <c r="M414" s="1">
        <v>2872</v>
      </c>
      <c r="N414" t="s">
        <v>32</v>
      </c>
      <c r="O414" s="5">
        <v>40725</v>
      </c>
      <c r="P414">
        <v>1</v>
      </c>
      <c r="Q414">
        <v>2</v>
      </c>
      <c r="R414" s="2">
        <v>0</v>
      </c>
      <c r="S414">
        <v>50</v>
      </c>
      <c r="T414" s="2">
        <v>0</v>
      </c>
      <c r="U414" t="s">
        <v>29</v>
      </c>
      <c r="V414" t="s">
        <v>29</v>
      </c>
      <c r="W414">
        <v>0</v>
      </c>
      <c r="X414">
        <v>0</v>
      </c>
      <c r="Y414">
        <v>0</v>
      </c>
    </row>
    <row r="415" spans="1:25" x14ac:dyDescent="0.25">
      <c r="A415">
        <v>3</v>
      </c>
      <c r="B415" s="1">
        <v>1010</v>
      </c>
      <c r="C415" s="2" t="s">
        <v>36</v>
      </c>
      <c r="D415" s="2">
        <v>100000</v>
      </c>
      <c r="E415" s="2">
        <v>96800</v>
      </c>
      <c r="F415" s="1">
        <v>50</v>
      </c>
      <c r="G415" s="1">
        <v>2</v>
      </c>
      <c r="H415" s="2" t="s">
        <v>26</v>
      </c>
      <c r="J415" s="2" t="s">
        <v>26</v>
      </c>
      <c r="K415" s="2">
        <v>10000</v>
      </c>
      <c r="L415" s="2" t="s">
        <v>26</v>
      </c>
      <c r="M415" s="1">
        <v>2872</v>
      </c>
      <c r="N415" t="s">
        <v>32</v>
      </c>
      <c r="O415" s="5">
        <f>EDATE(O414,1)</f>
        <v>40756</v>
      </c>
      <c r="P415">
        <v>2</v>
      </c>
      <c r="Q415">
        <v>3</v>
      </c>
      <c r="R415" s="2">
        <v>0</v>
      </c>
      <c r="S415">
        <v>50</v>
      </c>
      <c r="T415" s="2">
        <v>0</v>
      </c>
      <c r="U415" t="s">
        <v>29</v>
      </c>
      <c r="V415" t="s">
        <v>29</v>
      </c>
      <c r="W415">
        <v>0</v>
      </c>
      <c r="X415">
        <v>0</v>
      </c>
      <c r="Y415">
        <v>0</v>
      </c>
    </row>
    <row r="416" spans="1:25" x14ac:dyDescent="0.25">
      <c r="A416">
        <v>3</v>
      </c>
      <c r="B416" s="1">
        <v>1010</v>
      </c>
      <c r="C416" s="2" t="s">
        <v>36</v>
      </c>
      <c r="D416" s="2">
        <v>100000</v>
      </c>
      <c r="E416" s="2">
        <v>95200</v>
      </c>
      <c r="F416" s="1">
        <v>50</v>
      </c>
      <c r="G416" s="1">
        <v>3</v>
      </c>
      <c r="H416" s="2" t="s">
        <v>26</v>
      </c>
      <c r="J416" s="2" t="s">
        <v>26</v>
      </c>
      <c r="K416" s="2">
        <v>10000</v>
      </c>
      <c r="L416" s="2" t="s">
        <v>26</v>
      </c>
      <c r="M416" s="1">
        <v>2872</v>
      </c>
      <c r="N416" t="s">
        <v>32</v>
      </c>
      <c r="O416" s="5">
        <f>EDATE(O415,1)</f>
        <v>40787</v>
      </c>
      <c r="P416">
        <v>3</v>
      </c>
      <c r="Q416">
        <v>4</v>
      </c>
      <c r="R416" s="2">
        <v>0</v>
      </c>
      <c r="S416">
        <v>50</v>
      </c>
      <c r="T416" s="2">
        <v>0</v>
      </c>
      <c r="U416" t="s">
        <v>29</v>
      </c>
      <c r="V416" t="s">
        <v>29</v>
      </c>
      <c r="W416">
        <v>0</v>
      </c>
      <c r="X416">
        <v>0</v>
      </c>
      <c r="Y416">
        <v>0</v>
      </c>
    </row>
    <row r="417" spans="1:25" x14ac:dyDescent="0.25">
      <c r="A417">
        <v>3</v>
      </c>
      <c r="B417" s="1">
        <v>1010</v>
      </c>
      <c r="C417" s="2" t="s">
        <v>36</v>
      </c>
      <c r="D417" s="2">
        <v>100000</v>
      </c>
      <c r="E417" s="2">
        <v>93600</v>
      </c>
      <c r="F417" s="1">
        <v>50</v>
      </c>
      <c r="G417" s="1">
        <v>4</v>
      </c>
      <c r="H417" s="2" t="s">
        <v>26</v>
      </c>
      <c r="J417" s="2" t="s">
        <v>26</v>
      </c>
      <c r="K417" s="2">
        <v>10000</v>
      </c>
      <c r="L417" s="2" t="s">
        <v>26</v>
      </c>
      <c r="M417" s="1">
        <v>2872</v>
      </c>
      <c r="N417" t="s">
        <v>32</v>
      </c>
      <c r="O417" s="5">
        <f>EDATE(O416,1)</f>
        <v>40817</v>
      </c>
      <c r="P417">
        <v>4</v>
      </c>
      <c r="Q417">
        <v>5</v>
      </c>
      <c r="R417" s="2">
        <v>0</v>
      </c>
      <c r="S417">
        <v>50</v>
      </c>
      <c r="T417" s="2">
        <v>0</v>
      </c>
      <c r="U417" t="s">
        <v>29</v>
      </c>
      <c r="V417" t="s">
        <v>29</v>
      </c>
      <c r="W417">
        <v>0</v>
      </c>
      <c r="X417">
        <v>0</v>
      </c>
      <c r="Y417">
        <v>0</v>
      </c>
    </row>
    <row r="418" spans="1:25" x14ac:dyDescent="0.25">
      <c r="A418">
        <v>3</v>
      </c>
      <c r="B418" s="1">
        <v>1010</v>
      </c>
      <c r="C418" s="2" t="s">
        <v>36</v>
      </c>
      <c r="D418" s="2">
        <v>100000</v>
      </c>
      <c r="E418" s="2">
        <v>92000</v>
      </c>
      <c r="F418" s="1">
        <v>50</v>
      </c>
      <c r="G418" s="1">
        <v>5</v>
      </c>
      <c r="H418" s="2" t="s">
        <v>26</v>
      </c>
      <c r="J418" s="2" t="s">
        <v>26</v>
      </c>
      <c r="K418" s="2">
        <v>10000</v>
      </c>
      <c r="L418" s="2" t="s">
        <v>26</v>
      </c>
      <c r="M418" s="1">
        <v>2872</v>
      </c>
      <c r="N418" t="s">
        <v>32</v>
      </c>
      <c r="O418" s="5">
        <f>EDATE(O417,1)</f>
        <v>40848</v>
      </c>
      <c r="P418">
        <v>5</v>
      </c>
      <c r="Q418">
        <v>6</v>
      </c>
      <c r="R418" s="2">
        <v>0</v>
      </c>
      <c r="S418">
        <v>50</v>
      </c>
      <c r="T418" s="2">
        <v>0</v>
      </c>
      <c r="U418" t="s">
        <v>29</v>
      </c>
      <c r="V418" t="s">
        <v>29</v>
      </c>
      <c r="W418">
        <v>0</v>
      </c>
      <c r="X418">
        <v>0</v>
      </c>
      <c r="Y418">
        <v>0</v>
      </c>
    </row>
    <row r="419" spans="1:25" x14ac:dyDescent="0.25">
      <c r="A419">
        <v>3</v>
      </c>
      <c r="B419" s="1">
        <v>1010</v>
      </c>
      <c r="C419" s="2" t="s">
        <v>36</v>
      </c>
      <c r="D419" s="2">
        <v>100000</v>
      </c>
      <c r="E419" s="2">
        <v>90400</v>
      </c>
      <c r="F419" s="1">
        <v>50</v>
      </c>
      <c r="G419" s="1">
        <v>6</v>
      </c>
      <c r="H419" s="2" t="s">
        <v>26</v>
      </c>
      <c r="J419" s="2" t="s">
        <v>26</v>
      </c>
      <c r="K419" s="2">
        <v>10000</v>
      </c>
      <c r="L419" s="2" t="s">
        <v>26</v>
      </c>
      <c r="M419" s="1">
        <v>2872</v>
      </c>
      <c r="N419" t="s">
        <v>32</v>
      </c>
      <c r="O419" s="5">
        <f>EDATE(O418,1)</f>
        <v>40878</v>
      </c>
      <c r="P419">
        <v>6</v>
      </c>
      <c r="Q419">
        <v>7</v>
      </c>
      <c r="R419" s="2">
        <v>0</v>
      </c>
      <c r="S419">
        <v>50</v>
      </c>
      <c r="T419" s="2">
        <v>0</v>
      </c>
      <c r="U419" t="s">
        <v>29</v>
      </c>
      <c r="V419" t="s">
        <v>29</v>
      </c>
      <c r="W419">
        <v>0</v>
      </c>
      <c r="X419">
        <v>0</v>
      </c>
      <c r="Y419">
        <v>0</v>
      </c>
    </row>
    <row r="420" spans="1:25" x14ac:dyDescent="0.25">
      <c r="A420">
        <v>3</v>
      </c>
      <c r="B420" s="1">
        <v>1010</v>
      </c>
      <c r="C420" s="2" t="s">
        <v>36</v>
      </c>
      <c r="D420" s="2">
        <v>100000</v>
      </c>
      <c r="E420" s="2">
        <v>88800</v>
      </c>
      <c r="F420" s="1">
        <v>50</v>
      </c>
      <c r="G420" s="1">
        <v>7</v>
      </c>
      <c r="H420" s="2" t="s">
        <v>26</v>
      </c>
      <c r="J420" s="2" t="s">
        <v>26</v>
      </c>
      <c r="K420" s="2">
        <v>10000</v>
      </c>
      <c r="L420" s="2" t="s">
        <v>26</v>
      </c>
      <c r="M420" s="1">
        <v>2872</v>
      </c>
      <c r="N420" t="s">
        <v>32</v>
      </c>
      <c r="O420" s="5">
        <f>EDATE(O419,1)</f>
        <v>40909</v>
      </c>
      <c r="P420">
        <v>7</v>
      </c>
      <c r="Q420">
        <v>8</v>
      </c>
      <c r="R420" s="2">
        <v>0</v>
      </c>
      <c r="S420">
        <v>50</v>
      </c>
      <c r="T420" s="2">
        <v>0</v>
      </c>
      <c r="U420" t="s">
        <v>29</v>
      </c>
      <c r="V420" t="s">
        <v>29</v>
      </c>
      <c r="W420">
        <v>0</v>
      </c>
      <c r="X420">
        <v>0</v>
      </c>
      <c r="Y420">
        <v>0</v>
      </c>
    </row>
    <row r="421" spans="1:25" x14ac:dyDescent="0.25">
      <c r="A421">
        <v>3</v>
      </c>
      <c r="B421" s="1">
        <v>1010</v>
      </c>
      <c r="C421" s="2" t="s">
        <v>36</v>
      </c>
      <c r="D421" s="2">
        <v>100000</v>
      </c>
      <c r="E421" s="2">
        <v>87200</v>
      </c>
      <c r="F421" s="1">
        <v>50</v>
      </c>
      <c r="G421" s="1">
        <v>8</v>
      </c>
      <c r="H421" s="2" t="s">
        <v>26</v>
      </c>
      <c r="J421" s="2" t="s">
        <v>26</v>
      </c>
      <c r="K421" s="2">
        <v>10000</v>
      </c>
      <c r="L421" s="2" t="s">
        <v>26</v>
      </c>
      <c r="M421" s="1">
        <v>2872</v>
      </c>
      <c r="N421" t="s">
        <v>32</v>
      </c>
      <c r="O421" s="5">
        <f>EDATE(O420,1)</f>
        <v>40940</v>
      </c>
      <c r="P421">
        <v>8</v>
      </c>
      <c r="Q421">
        <v>9</v>
      </c>
      <c r="R421" s="2">
        <v>0</v>
      </c>
      <c r="S421">
        <v>50</v>
      </c>
      <c r="T421" s="2">
        <v>0</v>
      </c>
      <c r="U421" t="s">
        <v>29</v>
      </c>
      <c r="V421" t="s">
        <v>29</v>
      </c>
      <c r="W421">
        <v>0</v>
      </c>
      <c r="X421">
        <v>0</v>
      </c>
      <c r="Y421">
        <v>0</v>
      </c>
    </row>
    <row r="422" spans="1:25" x14ac:dyDescent="0.25">
      <c r="A422">
        <v>3</v>
      </c>
      <c r="B422" s="1">
        <v>1010</v>
      </c>
      <c r="C422" s="2" t="s">
        <v>36</v>
      </c>
      <c r="D422" s="2">
        <v>100000</v>
      </c>
      <c r="E422" s="2">
        <v>85600</v>
      </c>
      <c r="F422" s="1">
        <v>50</v>
      </c>
      <c r="G422" s="1">
        <v>9</v>
      </c>
      <c r="H422" s="2" t="s">
        <v>26</v>
      </c>
      <c r="J422" s="2" t="s">
        <v>26</v>
      </c>
      <c r="K422" s="2">
        <v>10000</v>
      </c>
      <c r="L422" s="2" t="s">
        <v>26</v>
      </c>
      <c r="M422" s="1">
        <v>2872</v>
      </c>
      <c r="N422" t="s">
        <v>32</v>
      </c>
      <c r="O422" s="5">
        <f>EDATE(O421,1)</f>
        <v>40969</v>
      </c>
      <c r="P422">
        <v>9</v>
      </c>
      <c r="Q422">
        <v>10</v>
      </c>
      <c r="R422" s="2">
        <v>0</v>
      </c>
      <c r="S422">
        <v>50</v>
      </c>
      <c r="T422" s="2">
        <v>0</v>
      </c>
      <c r="U422" t="s">
        <v>29</v>
      </c>
      <c r="V422" t="s">
        <v>29</v>
      </c>
      <c r="W422">
        <v>0</v>
      </c>
      <c r="X422">
        <v>0</v>
      </c>
      <c r="Y422">
        <v>0</v>
      </c>
    </row>
    <row r="423" spans="1:25" x14ac:dyDescent="0.25">
      <c r="A423">
        <v>3</v>
      </c>
      <c r="B423" s="1">
        <v>1010</v>
      </c>
      <c r="C423" s="2" t="s">
        <v>36</v>
      </c>
      <c r="D423" s="2">
        <v>100000</v>
      </c>
      <c r="E423" s="2">
        <v>84000</v>
      </c>
      <c r="F423" s="1">
        <v>50</v>
      </c>
      <c r="G423" s="1">
        <v>10</v>
      </c>
      <c r="H423" s="2" t="s">
        <v>26</v>
      </c>
      <c r="J423" s="2" t="s">
        <v>26</v>
      </c>
      <c r="K423" s="2">
        <v>10000</v>
      </c>
      <c r="L423" s="2" t="s">
        <v>26</v>
      </c>
      <c r="M423" s="1">
        <v>2872</v>
      </c>
      <c r="N423" t="s">
        <v>32</v>
      </c>
      <c r="O423" s="5">
        <f>EDATE(O422,1)</f>
        <v>41000</v>
      </c>
      <c r="P423">
        <v>10</v>
      </c>
      <c r="Q423">
        <v>11</v>
      </c>
      <c r="R423" s="2">
        <v>0</v>
      </c>
      <c r="S423">
        <v>50</v>
      </c>
      <c r="T423" s="2">
        <v>0</v>
      </c>
      <c r="U423" t="s">
        <v>29</v>
      </c>
      <c r="V423" t="s">
        <v>29</v>
      </c>
      <c r="W423">
        <v>0</v>
      </c>
      <c r="X423">
        <v>0</v>
      </c>
      <c r="Y423">
        <v>0</v>
      </c>
    </row>
    <row r="424" spans="1:25" x14ac:dyDescent="0.25">
      <c r="A424">
        <v>3</v>
      </c>
      <c r="B424" s="1">
        <v>1010</v>
      </c>
      <c r="C424" s="2" t="s">
        <v>36</v>
      </c>
      <c r="D424" s="2">
        <v>100000</v>
      </c>
      <c r="E424" s="2">
        <v>82400</v>
      </c>
      <c r="F424" s="1">
        <v>50</v>
      </c>
      <c r="G424" s="1">
        <v>11</v>
      </c>
      <c r="H424" s="2" t="s">
        <v>26</v>
      </c>
      <c r="J424" s="2" t="s">
        <v>26</v>
      </c>
      <c r="K424" s="2">
        <v>10000</v>
      </c>
      <c r="L424" s="2" t="s">
        <v>26</v>
      </c>
      <c r="M424" s="1">
        <v>2872</v>
      </c>
      <c r="N424" t="s">
        <v>32</v>
      </c>
      <c r="O424" s="5">
        <f>EDATE(O423,1)</f>
        <v>41030</v>
      </c>
      <c r="P424">
        <v>11</v>
      </c>
      <c r="Q424">
        <v>12</v>
      </c>
      <c r="R424" s="2">
        <v>0</v>
      </c>
      <c r="S424">
        <v>50</v>
      </c>
      <c r="T424" s="2">
        <v>0</v>
      </c>
      <c r="U424" t="s">
        <v>29</v>
      </c>
      <c r="V424" t="s">
        <v>29</v>
      </c>
      <c r="W424">
        <v>0</v>
      </c>
      <c r="X424">
        <v>0</v>
      </c>
      <c r="Y424">
        <v>0</v>
      </c>
    </row>
    <row r="425" spans="1:25" x14ac:dyDescent="0.25">
      <c r="A425">
        <v>3</v>
      </c>
      <c r="B425" s="1">
        <v>1010</v>
      </c>
      <c r="C425" s="2" t="s">
        <v>36</v>
      </c>
      <c r="D425" s="2">
        <v>100000</v>
      </c>
      <c r="E425" s="2">
        <v>80800</v>
      </c>
      <c r="F425" s="1">
        <v>50</v>
      </c>
      <c r="G425" s="1">
        <v>12</v>
      </c>
      <c r="H425" s="2" t="s">
        <v>26</v>
      </c>
      <c r="J425" s="2" t="s">
        <v>26</v>
      </c>
      <c r="K425" s="2">
        <v>10000</v>
      </c>
      <c r="L425" s="2" t="s">
        <v>26</v>
      </c>
      <c r="M425" s="1">
        <v>2872</v>
      </c>
      <c r="N425" t="s">
        <v>32</v>
      </c>
      <c r="O425" s="5">
        <f>EDATE(O424,1)</f>
        <v>41061</v>
      </c>
      <c r="P425">
        <v>12</v>
      </c>
      <c r="Q425">
        <v>13</v>
      </c>
      <c r="R425" s="2">
        <v>0</v>
      </c>
      <c r="S425">
        <v>50</v>
      </c>
      <c r="T425" s="2">
        <v>0</v>
      </c>
      <c r="U425" t="s">
        <v>29</v>
      </c>
      <c r="V425" t="s">
        <v>29</v>
      </c>
      <c r="W425">
        <v>0</v>
      </c>
      <c r="X425">
        <v>0</v>
      </c>
      <c r="Y425">
        <v>0</v>
      </c>
    </row>
    <row r="426" spans="1:25" x14ac:dyDescent="0.25">
      <c r="A426">
        <v>3</v>
      </c>
      <c r="B426" s="1">
        <v>1010</v>
      </c>
      <c r="C426" s="2" t="s">
        <v>36</v>
      </c>
      <c r="D426" s="2">
        <v>100000</v>
      </c>
      <c r="E426" s="2">
        <v>79200</v>
      </c>
      <c r="F426" s="1">
        <v>50</v>
      </c>
      <c r="G426" s="1">
        <v>13</v>
      </c>
      <c r="H426" s="2" t="s">
        <v>26</v>
      </c>
      <c r="J426" s="2" t="s">
        <v>26</v>
      </c>
      <c r="K426" s="2">
        <v>10000</v>
      </c>
      <c r="L426" s="2" t="s">
        <v>26</v>
      </c>
      <c r="M426" s="1">
        <v>2872</v>
      </c>
      <c r="N426" t="s">
        <v>32</v>
      </c>
      <c r="O426" s="5">
        <f>EDATE(O425,1)</f>
        <v>41091</v>
      </c>
      <c r="P426">
        <v>13</v>
      </c>
      <c r="Q426">
        <v>14</v>
      </c>
      <c r="R426" s="2">
        <v>0</v>
      </c>
      <c r="S426">
        <v>50</v>
      </c>
      <c r="T426" s="2">
        <v>0</v>
      </c>
      <c r="U426" t="s">
        <v>29</v>
      </c>
      <c r="V426" t="s">
        <v>29</v>
      </c>
      <c r="W426">
        <v>0</v>
      </c>
      <c r="X426">
        <v>0</v>
      </c>
      <c r="Y426">
        <v>0</v>
      </c>
    </row>
    <row r="427" spans="1:25" x14ac:dyDescent="0.25">
      <c r="A427">
        <v>3</v>
      </c>
      <c r="B427" s="1">
        <v>1010</v>
      </c>
      <c r="C427" s="2" t="s">
        <v>36</v>
      </c>
      <c r="D427" s="2">
        <v>100000</v>
      </c>
      <c r="E427" s="2">
        <v>77600</v>
      </c>
      <c r="F427" s="1">
        <v>50</v>
      </c>
      <c r="G427" s="1">
        <v>14</v>
      </c>
      <c r="H427" s="2" t="s">
        <v>26</v>
      </c>
      <c r="J427" s="2" t="s">
        <v>26</v>
      </c>
      <c r="K427" s="2">
        <v>10000</v>
      </c>
      <c r="L427" s="2" t="s">
        <v>26</v>
      </c>
      <c r="M427" s="1">
        <v>2872</v>
      </c>
      <c r="N427" t="s">
        <v>32</v>
      </c>
      <c r="O427" s="5">
        <f>EDATE(O426,1)</f>
        <v>41122</v>
      </c>
      <c r="P427">
        <v>14</v>
      </c>
      <c r="Q427">
        <v>15</v>
      </c>
      <c r="R427" s="2">
        <v>0</v>
      </c>
      <c r="S427">
        <v>50</v>
      </c>
      <c r="T427" s="2">
        <v>0</v>
      </c>
      <c r="U427" t="s">
        <v>29</v>
      </c>
      <c r="V427" t="s">
        <v>29</v>
      </c>
      <c r="W427">
        <v>0</v>
      </c>
      <c r="X427">
        <v>0</v>
      </c>
      <c r="Y427">
        <v>0</v>
      </c>
    </row>
    <row r="428" spans="1:25" x14ac:dyDescent="0.25">
      <c r="A428">
        <v>3</v>
      </c>
      <c r="B428" s="1">
        <v>1010</v>
      </c>
      <c r="C428" s="2" t="s">
        <v>36</v>
      </c>
      <c r="D428" s="2">
        <v>100000</v>
      </c>
      <c r="E428" s="2">
        <v>76000</v>
      </c>
      <c r="F428" s="1">
        <v>50</v>
      </c>
      <c r="G428" s="1">
        <v>15</v>
      </c>
      <c r="H428" s="2" t="s">
        <v>26</v>
      </c>
      <c r="J428" s="2" t="s">
        <v>26</v>
      </c>
      <c r="K428" s="2">
        <v>10000</v>
      </c>
      <c r="L428" s="2" t="s">
        <v>26</v>
      </c>
      <c r="M428" s="1">
        <v>2872</v>
      </c>
      <c r="N428" t="s">
        <v>32</v>
      </c>
      <c r="O428" s="5">
        <f>EDATE(O427,1)</f>
        <v>41153</v>
      </c>
      <c r="P428">
        <v>15</v>
      </c>
      <c r="Q428">
        <v>16</v>
      </c>
      <c r="R428" s="2">
        <v>0</v>
      </c>
      <c r="S428">
        <v>50</v>
      </c>
      <c r="T428" s="2">
        <v>0</v>
      </c>
      <c r="U428" t="s">
        <v>29</v>
      </c>
      <c r="V428" t="s">
        <v>29</v>
      </c>
      <c r="W428">
        <v>0</v>
      </c>
      <c r="X428">
        <v>0</v>
      </c>
      <c r="Y428">
        <v>0</v>
      </c>
    </row>
    <row r="429" spans="1:25" x14ac:dyDescent="0.25">
      <c r="A429">
        <v>3</v>
      </c>
      <c r="B429" s="1">
        <v>1010</v>
      </c>
      <c r="C429" s="2" t="s">
        <v>36</v>
      </c>
      <c r="D429" s="2">
        <v>100000</v>
      </c>
      <c r="E429" s="2">
        <v>74400</v>
      </c>
      <c r="F429" s="1">
        <v>50</v>
      </c>
      <c r="G429" s="1">
        <v>16</v>
      </c>
      <c r="H429" s="2" t="s">
        <v>26</v>
      </c>
      <c r="J429" s="2" t="s">
        <v>26</v>
      </c>
      <c r="K429" s="2">
        <v>10000</v>
      </c>
      <c r="L429" s="2" t="s">
        <v>26</v>
      </c>
      <c r="M429" s="1">
        <v>2872</v>
      </c>
      <c r="N429" t="s">
        <v>32</v>
      </c>
      <c r="O429" s="5">
        <f>EDATE(O428,1)</f>
        <v>41183</v>
      </c>
      <c r="P429">
        <v>16</v>
      </c>
      <c r="Q429">
        <v>17</v>
      </c>
      <c r="R429" s="2">
        <v>0</v>
      </c>
      <c r="S429">
        <v>50</v>
      </c>
      <c r="T429" s="2">
        <v>0</v>
      </c>
      <c r="U429" t="s">
        <v>29</v>
      </c>
      <c r="V429" t="s">
        <v>29</v>
      </c>
      <c r="W429">
        <v>0</v>
      </c>
      <c r="X429">
        <v>0</v>
      </c>
      <c r="Y429">
        <v>0</v>
      </c>
    </row>
    <row r="430" spans="1:25" x14ac:dyDescent="0.25">
      <c r="A430">
        <v>3</v>
      </c>
      <c r="B430" s="1">
        <v>1010</v>
      </c>
      <c r="C430" s="2" t="s">
        <v>36</v>
      </c>
      <c r="D430" s="2">
        <v>100000</v>
      </c>
      <c r="E430" s="2">
        <v>72800</v>
      </c>
      <c r="F430" s="1">
        <v>50</v>
      </c>
      <c r="G430" s="1">
        <v>17</v>
      </c>
      <c r="H430" s="2" t="s">
        <v>26</v>
      </c>
      <c r="J430" s="2" t="s">
        <v>26</v>
      </c>
      <c r="K430" s="2">
        <v>10000</v>
      </c>
      <c r="L430" s="2" t="s">
        <v>26</v>
      </c>
      <c r="M430" s="1">
        <v>2872</v>
      </c>
      <c r="N430" t="s">
        <v>32</v>
      </c>
      <c r="O430" s="5">
        <f>EDATE(O429,1)</f>
        <v>41214</v>
      </c>
      <c r="P430">
        <v>17</v>
      </c>
      <c r="Q430">
        <v>18</v>
      </c>
      <c r="R430" s="2">
        <v>0</v>
      </c>
      <c r="S430">
        <v>50</v>
      </c>
      <c r="T430" s="2">
        <v>0</v>
      </c>
      <c r="U430" t="s">
        <v>29</v>
      </c>
      <c r="V430" t="s">
        <v>29</v>
      </c>
      <c r="W430">
        <v>0</v>
      </c>
      <c r="X430">
        <v>0</v>
      </c>
      <c r="Y430">
        <v>0</v>
      </c>
    </row>
    <row r="431" spans="1:25" x14ac:dyDescent="0.25">
      <c r="A431">
        <v>3</v>
      </c>
      <c r="B431" s="1">
        <v>1010</v>
      </c>
      <c r="C431" s="2" t="s">
        <v>36</v>
      </c>
      <c r="D431" s="2">
        <v>100000</v>
      </c>
      <c r="E431" s="2">
        <v>71200</v>
      </c>
      <c r="F431" s="1">
        <v>50</v>
      </c>
      <c r="G431" s="1">
        <v>18</v>
      </c>
      <c r="H431" s="2" t="s">
        <v>26</v>
      </c>
      <c r="J431" s="2" t="s">
        <v>26</v>
      </c>
      <c r="K431" s="2">
        <v>10000</v>
      </c>
      <c r="L431" s="2" t="s">
        <v>26</v>
      </c>
      <c r="M431" s="1">
        <v>2872</v>
      </c>
      <c r="N431" t="s">
        <v>32</v>
      </c>
      <c r="O431" s="5">
        <f>EDATE(O430,1)</f>
        <v>41244</v>
      </c>
      <c r="P431">
        <v>18</v>
      </c>
      <c r="Q431">
        <v>19</v>
      </c>
      <c r="R431" s="2">
        <v>0</v>
      </c>
      <c r="S431">
        <v>50</v>
      </c>
      <c r="T431" s="2">
        <v>0</v>
      </c>
      <c r="U431" t="s">
        <v>29</v>
      </c>
      <c r="V431" t="s">
        <v>29</v>
      </c>
      <c r="W431">
        <v>0</v>
      </c>
      <c r="X431">
        <v>0</v>
      </c>
      <c r="Y431">
        <v>0</v>
      </c>
    </row>
    <row r="432" spans="1:25" x14ac:dyDescent="0.25">
      <c r="A432">
        <v>3</v>
      </c>
      <c r="B432" s="1">
        <v>1010</v>
      </c>
      <c r="C432" s="2" t="s">
        <v>36</v>
      </c>
      <c r="D432" s="2">
        <v>100000</v>
      </c>
      <c r="E432" s="2">
        <v>69600</v>
      </c>
      <c r="F432" s="1">
        <v>50</v>
      </c>
      <c r="G432" s="1">
        <v>19</v>
      </c>
      <c r="H432" s="2" t="s">
        <v>26</v>
      </c>
      <c r="J432" s="2" t="s">
        <v>26</v>
      </c>
      <c r="K432" s="2">
        <v>10000</v>
      </c>
      <c r="L432" s="2" t="s">
        <v>26</v>
      </c>
      <c r="M432" s="1">
        <v>2872</v>
      </c>
      <c r="N432" t="s">
        <v>32</v>
      </c>
      <c r="O432" s="5">
        <f>EDATE(O431,1)</f>
        <v>41275</v>
      </c>
      <c r="P432">
        <v>19</v>
      </c>
      <c r="Q432">
        <v>20</v>
      </c>
      <c r="R432" s="2">
        <v>0</v>
      </c>
      <c r="S432">
        <v>50</v>
      </c>
      <c r="T432" s="2">
        <v>0</v>
      </c>
      <c r="U432" t="s">
        <v>29</v>
      </c>
      <c r="V432" t="s">
        <v>29</v>
      </c>
      <c r="W432">
        <v>0</v>
      </c>
      <c r="X432">
        <v>0</v>
      </c>
      <c r="Y432">
        <v>0</v>
      </c>
    </row>
    <row r="433" spans="1:25" x14ac:dyDescent="0.25">
      <c r="A433">
        <v>3</v>
      </c>
      <c r="B433" s="1">
        <v>1010</v>
      </c>
      <c r="C433" s="2" t="s">
        <v>36</v>
      </c>
      <c r="D433" s="2">
        <v>100000</v>
      </c>
      <c r="E433" s="2">
        <v>68000</v>
      </c>
      <c r="F433" s="1">
        <v>50</v>
      </c>
      <c r="G433" s="1">
        <v>20</v>
      </c>
      <c r="H433" s="2" t="s">
        <v>26</v>
      </c>
      <c r="J433" s="2" t="s">
        <v>26</v>
      </c>
      <c r="K433" s="2">
        <v>10000</v>
      </c>
      <c r="L433" s="2" t="s">
        <v>26</v>
      </c>
      <c r="M433" s="1">
        <v>2872</v>
      </c>
      <c r="N433" t="s">
        <v>32</v>
      </c>
      <c r="O433" s="5">
        <f>EDATE(O432,1)</f>
        <v>41306</v>
      </c>
      <c r="P433">
        <v>20</v>
      </c>
      <c r="Q433">
        <v>21</v>
      </c>
      <c r="R433" s="2">
        <v>0</v>
      </c>
      <c r="S433">
        <v>50</v>
      </c>
      <c r="T433" s="2">
        <v>0</v>
      </c>
      <c r="U433" t="s">
        <v>29</v>
      </c>
      <c r="V433" t="s">
        <v>29</v>
      </c>
      <c r="W433">
        <v>0</v>
      </c>
      <c r="X433">
        <v>0</v>
      </c>
      <c r="Y433">
        <v>0</v>
      </c>
    </row>
    <row r="434" spans="1:25" x14ac:dyDescent="0.25">
      <c r="A434">
        <v>3</v>
      </c>
      <c r="B434" s="1">
        <v>1010</v>
      </c>
      <c r="C434" s="2" t="s">
        <v>36</v>
      </c>
      <c r="D434" s="2">
        <v>100000</v>
      </c>
      <c r="E434" s="2">
        <v>66400</v>
      </c>
      <c r="F434" s="1">
        <v>50</v>
      </c>
      <c r="G434" s="1">
        <v>21</v>
      </c>
      <c r="H434" s="2" t="s">
        <v>26</v>
      </c>
      <c r="J434" s="2" t="s">
        <v>26</v>
      </c>
      <c r="K434" s="2">
        <v>10000</v>
      </c>
      <c r="L434" s="2" t="s">
        <v>26</v>
      </c>
      <c r="M434" s="1">
        <v>2872</v>
      </c>
      <c r="N434" t="s">
        <v>32</v>
      </c>
      <c r="O434" s="5">
        <f>EDATE(O433,1)</f>
        <v>41334</v>
      </c>
      <c r="P434">
        <v>21</v>
      </c>
      <c r="Q434">
        <v>22</v>
      </c>
      <c r="R434" s="2">
        <v>0</v>
      </c>
      <c r="S434">
        <v>50</v>
      </c>
      <c r="T434" s="2">
        <v>0</v>
      </c>
      <c r="U434" t="s">
        <v>29</v>
      </c>
      <c r="V434" t="s">
        <v>29</v>
      </c>
      <c r="W434">
        <v>0</v>
      </c>
      <c r="X434">
        <v>0</v>
      </c>
      <c r="Y434">
        <v>0</v>
      </c>
    </row>
    <row r="435" spans="1:25" x14ac:dyDescent="0.25">
      <c r="A435">
        <v>3</v>
      </c>
      <c r="B435" s="1">
        <v>1010</v>
      </c>
      <c r="C435" s="2" t="s">
        <v>36</v>
      </c>
      <c r="D435" s="2">
        <v>100000</v>
      </c>
      <c r="E435" s="2">
        <v>64800</v>
      </c>
      <c r="F435" s="1">
        <v>50</v>
      </c>
      <c r="G435" s="1">
        <v>22</v>
      </c>
      <c r="H435" s="2" t="s">
        <v>26</v>
      </c>
      <c r="J435" s="2" t="s">
        <v>26</v>
      </c>
      <c r="K435" s="2">
        <v>10000</v>
      </c>
      <c r="L435" s="2" t="s">
        <v>26</v>
      </c>
      <c r="M435" s="1">
        <v>2872</v>
      </c>
      <c r="N435" t="s">
        <v>32</v>
      </c>
      <c r="O435" s="5">
        <f>EDATE(O434,1)</f>
        <v>41365</v>
      </c>
      <c r="P435">
        <v>22</v>
      </c>
      <c r="Q435">
        <v>23</v>
      </c>
      <c r="R435" s="2">
        <v>0</v>
      </c>
      <c r="S435">
        <v>50</v>
      </c>
      <c r="T435" s="2">
        <v>0</v>
      </c>
      <c r="U435" t="s">
        <v>29</v>
      </c>
      <c r="V435" t="s">
        <v>29</v>
      </c>
      <c r="W435">
        <v>0</v>
      </c>
      <c r="X435">
        <v>0</v>
      </c>
      <c r="Y435">
        <v>0</v>
      </c>
    </row>
    <row r="436" spans="1:25" x14ac:dyDescent="0.25">
      <c r="A436">
        <v>3</v>
      </c>
      <c r="B436" s="1">
        <v>1010</v>
      </c>
      <c r="C436" s="2" t="s">
        <v>36</v>
      </c>
      <c r="D436" s="2">
        <v>100000</v>
      </c>
      <c r="E436" s="2">
        <v>63200</v>
      </c>
      <c r="F436" s="1">
        <v>50</v>
      </c>
      <c r="G436" s="1">
        <v>23</v>
      </c>
      <c r="H436" s="2" t="s">
        <v>26</v>
      </c>
      <c r="J436" s="2" t="s">
        <v>26</v>
      </c>
      <c r="K436" s="2">
        <v>10000</v>
      </c>
      <c r="L436" s="2" t="s">
        <v>26</v>
      </c>
      <c r="M436" s="1">
        <v>2872</v>
      </c>
      <c r="N436" t="s">
        <v>32</v>
      </c>
      <c r="O436" s="5">
        <f>EDATE(O435,1)</f>
        <v>41395</v>
      </c>
      <c r="P436">
        <v>23</v>
      </c>
      <c r="Q436">
        <v>24</v>
      </c>
      <c r="R436" s="2">
        <v>0</v>
      </c>
      <c r="S436">
        <v>50</v>
      </c>
      <c r="T436" s="2">
        <v>0</v>
      </c>
      <c r="U436" t="s">
        <v>29</v>
      </c>
      <c r="V436" t="s">
        <v>29</v>
      </c>
      <c r="W436">
        <v>0</v>
      </c>
      <c r="X436">
        <v>0</v>
      </c>
      <c r="Y436">
        <v>0</v>
      </c>
    </row>
    <row r="437" spans="1:25" x14ac:dyDescent="0.25">
      <c r="A437">
        <v>3</v>
      </c>
      <c r="B437" s="1">
        <v>1010</v>
      </c>
      <c r="C437" s="2" t="s">
        <v>36</v>
      </c>
      <c r="D437" s="2">
        <v>100000</v>
      </c>
      <c r="E437" s="2">
        <v>61600</v>
      </c>
      <c r="F437" s="1">
        <v>50</v>
      </c>
      <c r="G437" s="1">
        <v>24</v>
      </c>
      <c r="H437" s="2" t="s">
        <v>26</v>
      </c>
      <c r="J437" s="2" t="s">
        <v>26</v>
      </c>
      <c r="K437" s="2">
        <v>10000</v>
      </c>
      <c r="L437" s="2" t="s">
        <v>26</v>
      </c>
      <c r="M437" s="1">
        <v>2872</v>
      </c>
      <c r="N437" t="s">
        <v>32</v>
      </c>
      <c r="O437" s="5">
        <f>EDATE(O436,1)</f>
        <v>41426</v>
      </c>
      <c r="P437">
        <v>24</v>
      </c>
      <c r="Q437">
        <v>25</v>
      </c>
      <c r="R437" s="2">
        <v>0</v>
      </c>
      <c r="S437">
        <v>50</v>
      </c>
      <c r="T437" s="2">
        <v>0</v>
      </c>
      <c r="U437" t="s">
        <v>29</v>
      </c>
      <c r="V437" t="s">
        <v>29</v>
      </c>
      <c r="W437">
        <v>0</v>
      </c>
      <c r="X437">
        <v>0</v>
      </c>
      <c r="Y437">
        <v>0</v>
      </c>
    </row>
    <row r="438" spans="1:25" x14ac:dyDescent="0.25">
      <c r="A438">
        <v>3</v>
      </c>
      <c r="B438" s="1">
        <v>1010</v>
      </c>
      <c r="C438" s="2" t="s">
        <v>36</v>
      </c>
      <c r="D438" s="2">
        <v>100000</v>
      </c>
      <c r="E438" s="2">
        <v>60000</v>
      </c>
      <c r="F438" s="1">
        <v>50</v>
      </c>
      <c r="G438" s="1">
        <v>25</v>
      </c>
      <c r="H438" s="2" t="s">
        <v>26</v>
      </c>
      <c r="J438" s="2" t="s">
        <v>26</v>
      </c>
      <c r="K438" s="2">
        <v>10000</v>
      </c>
      <c r="L438" s="2" t="s">
        <v>26</v>
      </c>
      <c r="M438" s="1">
        <v>2872</v>
      </c>
      <c r="N438" t="s">
        <v>32</v>
      </c>
      <c r="O438" s="5">
        <f>EDATE(O437,1)</f>
        <v>41456</v>
      </c>
      <c r="P438">
        <v>25</v>
      </c>
      <c r="Q438">
        <v>26</v>
      </c>
      <c r="R438" s="2">
        <v>0</v>
      </c>
      <c r="S438">
        <v>50</v>
      </c>
      <c r="T438" s="2">
        <v>0</v>
      </c>
      <c r="U438" t="s">
        <v>29</v>
      </c>
      <c r="V438" t="s">
        <v>29</v>
      </c>
      <c r="W438">
        <v>0</v>
      </c>
      <c r="X438">
        <v>0</v>
      </c>
      <c r="Y438">
        <v>0</v>
      </c>
    </row>
    <row r="439" spans="1:25" x14ac:dyDescent="0.25">
      <c r="A439">
        <v>3</v>
      </c>
      <c r="B439" s="1">
        <v>1010</v>
      </c>
      <c r="C439" s="2" t="s">
        <v>36</v>
      </c>
      <c r="D439" s="2">
        <v>100000</v>
      </c>
      <c r="E439" s="2">
        <v>58400</v>
      </c>
      <c r="F439" s="1">
        <v>50</v>
      </c>
      <c r="G439" s="1">
        <v>26</v>
      </c>
      <c r="H439" s="2" t="s">
        <v>26</v>
      </c>
      <c r="J439" s="2" t="s">
        <v>26</v>
      </c>
      <c r="K439" s="2">
        <v>10000</v>
      </c>
      <c r="L439" s="2" t="s">
        <v>26</v>
      </c>
      <c r="M439" s="1">
        <v>2872</v>
      </c>
      <c r="N439" t="s">
        <v>32</v>
      </c>
      <c r="O439" s="5">
        <f>EDATE(O438,1)</f>
        <v>41487</v>
      </c>
      <c r="P439">
        <v>26</v>
      </c>
      <c r="Q439">
        <v>27</v>
      </c>
      <c r="R439" s="2">
        <v>0</v>
      </c>
      <c r="S439">
        <v>50</v>
      </c>
      <c r="T439" s="2">
        <v>0</v>
      </c>
      <c r="U439" t="s">
        <v>29</v>
      </c>
      <c r="V439" t="s">
        <v>29</v>
      </c>
      <c r="W439">
        <v>0</v>
      </c>
      <c r="X439">
        <v>0</v>
      </c>
      <c r="Y439">
        <v>0</v>
      </c>
    </row>
    <row r="440" spans="1:25" x14ac:dyDescent="0.25">
      <c r="A440">
        <v>3</v>
      </c>
      <c r="B440" s="1">
        <v>1010</v>
      </c>
      <c r="C440" s="2" t="s">
        <v>36</v>
      </c>
      <c r="D440" s="2">
        <v>100000</v>
      </c>
      <c r="E440" s="2">
        <v>56800</v>
      </c>
      <c r="F440" s="1">
        <v>50</v>
      </c>
      <c r="G440" s="1">
        <v>27</v>
      </c>
      <c r="H440" s="2" t="s">
        <v>26</v>
      </c>
      <c r="J440" s="2" t="s">
        <v>26</v>
      </c>
      <c r="K440" s="2">
        <v>10000</v>
      </c>
      <c r="L440" s="2" t="s">
        <v>26</v>
      </c>
      <c r="M440" s="1">
        <v>2872</v>
      </c>
      <c r="N440" t="s">
        <v>32</v>
      </c>
      <c r="O440" s="5">
        <f>EDATE(O439,1)</f>
        <v>41518</v>
      </c>
      <c r="P440">
        <v>27</v>
      </c>
      <c r="Q440">
        <v>28</v>
      </c>
      <c r="R440" s="2">
        <v>0</v>
      </c>
      <c r="S440">
        <v>50</v>
      </c>
      <c r="T440" s="2">
        <v>0</v>
      </c>
      <c r="U440" t="s">
        <v>29</v>
      </c>
      <c r="V440" t="s">
        <v>29</v>
      </c>
      <c r="W440">
        <v>0</v>
      </c>
      <c r="X440">
        <v>0</v>
      </c>
      <c r="Y440">
        <v>0</v>
      </c>
    </row>
    <row r="441" spans="1:25" x14ac:dyDescent="0.25">
      <c r="A441">
        <v>3</v>
      </c>
      <c r="B441" s="1">
        <v>1010</v>
      </c>
      <c r="C441" s="2" t="s">
        <v>36</v>
      </c>
      <c r="D441" s="2">
        <v>100000</v>
      </c>
      <c r="E441" s="2">
        <v>55200</v>
      </c>
      <c r="F441" s="1">
        <v>50</v>
      </c>
      <c r="G441" s="1">
        <v>28</v>
      </c>
      <c r="H441" s="2" t="s">
        <v>26</v>
      </c>
      <c r="J441" s="2" t="s">
        <v>26</v>
      </c>
      <c r="K441" s="2">
        <v>10000</v>
      </c>
      <c r="L441" s="2" t="s">
        <v>26</v>
      </c>
      <c r="M441" s="1">
        <v>2872</v>
      </c>
      <c r="N441" t="s">
        <v>32</v>
      </c>
      <c r="O441" s="5">
        <f>EDATE(O440,1)</f>
        <v>41548</v>
      </c>
      <c r="P441">
        <v>28</v>
      </c>
      <c r="Q441">
        <v>29</v>
      </c>
      <c r="R441" s="2">
        <v>0</v>
      </c>
      <c r="S441">
        <v>50</v>
      </c>
      <c r="T441" s="2">
        <v>0</v>
      </c>
      <c r="U441" t="s">
        <v>29</v>
      </c>
      <c r="V441" t="s">
        <v>29</v>
      </c>
      <c r="W441">
        <v>0</v>
      </c>
      <c r="X441">
        <v>0</v>
      </c>
      <c r="Y441">
        <v>0</v>
      </c>
    </row>
    <row r="442" spans="1:25" x14ac:dyDescent="0.25">
      <c r="A442">
        <v>3</v>
      </c>
      <c r="B442" s="1">
        <v>1010</v>
      </c>
      <c r="C442" s="2" t="s">
        <v>36</v>
      </c>
      <c r="D442" s="2">
        <v>100000</v>
      </c>
      <c r="E442" s="2">
        <v>53600</v>
      </c>
      <c r="F442" s="1">
        <v>50</v>
      </c>
      <c r="G442" s="1">
        <v>29</v>
      </c>
      <c r="H442" s="2" t="s">
        <v>26</v>
      </c>
      <c r="J442" s="2" t="s">
        <v>26</v>
      </c>
      <c r="K442" s="2">
        <v>10000</v>
      </c>
      <c r="L442" s="2" t="s">
        <v>26</v>
      </c>
      <c r="M442" s="1">
        <v>2872</v>
      </c>
      <c r="N442" t="s">
        <v>32</v>
      </c>
      <c r="O442" s="5">
        <f>EDATE(O441,1)</f>
        <v>41579</v>
      </c>
      <c r="P442">
        <v>29</v>
      </c>
      <c r="Q442">
        <v>30</v>
      </c>
      <c r="R442" s="2">
        <v>0</v>
      </c>
      <c r="S442">
        <v>50</v>
      </c>
      <c r="T442" s="2">
        <v>0</v>
      </c>
      <c r="U442" t="s">
        <v>29</v>
      </c>
      <c r="V442" t="s">
        <v>29</v>
      </c>
      <c r="W442">
        <v>0</v>
      </c>
      <c r="X442">
        <v>0</v>
      </c>
      <c r="Y442">
        <v>0</v>
      </c>
    </row>
    <row r="443" spans="1:25" x14ac:dyDescent="0.25">
      <c r="A443">
        <v>3</v>
      </c>
      <c r="B443" s="1">
        <v>1010</v>
      </c>
      <c r="C443" s="2" t="s">
        <v>36</v>
      </c>
      <c r="D443" s="2">
        <v>100000</v>
      </c>
      <c r="E443" s="2">
        <v>52000</v>
      </c>
      <c r="F443" s="1">
        <v>50</v>
      </c>
      <c r="G443" s="1">
        <v>30</v>
      </c>
      <c r="H443" s="2" t="s">
        <v>26</v>
      </c>
      <c r="J443" s="2" t="s">
        <v>26</v>
      </c>
      <c r="K443" s="2">
        <v>10000</v>
      </c>
      <c r="L443" s="2" t="s">
        <v>26</v>
      </c>
      <c r="M443" s="1">
        <v>2872</v>
      </c>
      <c r="N443" t="s">
        <v>32</v>
      </c>
      <c r="O443" s="5">
        <f>EDATE(O442,1)</f>
        <v>41609</v>
      </c>
      <c r="P443">
        <v>30</v>
      </c>
      <c r="Q443">
        <v>31</v>
      </c>
      <c r="R443" s="2">
        <v>0</v>
      </c>
      <c r="S443">
        <v>50</v>
      </c>
      <c r="T443" s="2">
        <v>0</v>
      </c>
      <c r="U443" t="s">
        <v>29</v>
      </c>
      <c r="V443" t="s">
        <v>29</v>
      </c>
      <c r="W443">
        <v>0</v>
      </c>
      <c r="X443">
        <v>0</v>
      </c>
      <c r="Y443">
        <v>0</v>
      </c>
    </row>
    <row r="444" spans="1:25" x14ac:dyDescent="0.25">
      <c r="A444">
        <v>3</v>
      </c>
      <c r="B444" s="1">
        <v>1010</v>
      </c>
      <c r="C444" s="2" t="s">
        <v>36</v>
      </c>
      <c r="D444" s="2">
        <v>100000</v>
      </c>
      <c r="E444" s="2">
        <v>50400</v>
      </c>
      <c r="F444" s="1">
        <v>50</v>
      </c>
      <c r="G444" s="1">
        <v>31</v>
      </c>
      <c r="H444" s="2" t="s">
        <v>26</v>
      </c>
      <c r="J444" s="2" t="s">
        <v>26</v>
      </c>
      <c r="K444" s="2">
        <v>10000</v>
      </c>
      <c r="L444" s="2" t="s">
        <v>26</v>
      </c>
      <c r="M444" s="1">
        <v>2872</v>
      </c>
      <c r="N444" t="s">
        <v>32</v>
      </c>
      <c r="O444" s="5">
        <f>EDATE(O443,1)</f>
        <v>41640</v>
      </c>
      <c r="P444">
        <v>31</v>
      </c>
      <c r="Q444">
        <v>32</v>
      </c>
      <c r="R444" s="2">
        <v>0</v>
      </c>
      <c r="S444">
        <v>50</v>
      </c>
      <c r="T444" s="2">
        <v>0</v>
      </c>
      <c r="U444" t="s">
        <v>29</v>
      </c>
      <c r="V444" t="s">
        <v>29</v>
      </c>
      <c r="W444">
        <v>0</v>
      </c>
      <c r="X444">
        <v>0</v>
      </c>
      <c r="Y444">
        <v>0</v>
      </c>
    </row>
    <row r="445" spans="1:25" x14ac:dyDescent="0.25">
      <c r="A445">
        <v>3</v>
      </c>
      <c r="B445" s="1">
        <v>1010</v>
      </c>
      <c r="C445" s="2" t="s">
        <v>36</v>
      </c>
      <c r="D445" s="2">
        <v>100000</v>
      </c>
      <c r="E445" s="2">
        <v>48800</v>
      </c>
      <c r="F445" s="1">
        <v>50</v>
      </c>
      <c r="G445" s="1">
        <v>32</v>
      </c>
      <c r="H445" s="2" t="s">
        <v>26</v>
      </c>
      <c r="J445" s="2" t="s">
        <v>26</v>
      </c>
      <c r="K445" s="2">
        <v>10000</v>
      </c>
      <c r="L445" s="2" t="s">
        <v>26</v>
      </c>
      <c r="M445" s="1">
        <v>2872</v>
      </c>
      <c r="N445" t="s">
        <v>32</v>
      </c>
      <c r="O445" s="5">
        <f>EDATE(O444,1)</f>
        <v>41671</v>
      </c>
      <c r="P445">
        <v>32</v>
      </c>
      <c r="Q445">
        <v>33</v>
      </c>
      <c r="R445" s="2">
        <v>0</v>
      </c>
      <c r="S445">
        <v>50</v>
      </c>
      <c r="T445" s="2">
        <v>0</v>
      </c>
      <c r="U445" t="s">
        <v>29</v>
      </c>
      <c r="V445" t="s">
        <v>29</v>
      </c>
      <c r="W445">
        <v>0</v>
      </c>
      <c r="X445">
        <v>0</v>
      </c>
      <c r="Y445">
        <v>0</v>
      </c>
    </row>
    <row r="446" spans="1:25" x14ac:dyDescent="0.25">
      <c r="A446">
        <v>3</v>
      </c>
      <c r="B446" s="1">
        <v>1010</v>
      </c>
      <c r="C446" s="2" t="s">
        <v>36</v>
      </c>
      <c r="D446" s="2">
        <v>100000</v>
      </c>
      <c r="E446" s="2">
        <v>47200</v>
      </c>
      <c r="F446" s="1">
        <v>50</v>
      </c>
      <c r="G446" s="1">
        <v>33</v>
      </c>
      <c r="H446" s="2" t="s">
        <v>26</v>
      </c>
      <c r="J446" s="2" t="s">
        <v>26</v>
      </c>
      <c r="K446" s="2">
        <v>10000</v>
      </c>
      <c r="L446" s="2" t="s">
        <v>26</v>
      </c>
      <c r="M446" s="1">
        <v>2872</v>
      </c>
      <c r="N446" t="s">
        <v>32</v>
      </c>
      <c r="O446" s="5">
        <f>EDATE(O445,1)</f>
        <v>41699</v>
      </c>
      <c r="P446">
        <v>33</v>
      </c>
      <c r="Q446">
        <v>34</v>
      </c>
      <c r="R446" s="2">
        <v>0</v>
      </c>
      <c r="S446">
        <v>50</v>
      </c>
      <c r="T446" s="2">
        <v>0</v>
      </c>
      <c r="U446" t="s">
        <v>29</v>
      </c>
      <c r="V446" t="s">
        <v>29</v>
      </c>
      <c r="W446">
        <v>0</v>
      </c>
      <c r="X446">
        <v>0</v>
      </c>
      <c r="Y446">
        <v>0</v>
      </c>
    </row>
    <row r="447" spans="1:25" x14ac:dyDescent="0.25">
      <c r="A447">
        <v>3</v>
      </c>
      <c r="B447" s="1">
        <v>1010</v>
      </c>
      <c r="C447" s="2" t="s">
        <v>36</v>
      </c>
      <c r="D447" s="2">
        <v>100000</v>
      </c>
      <c r="E447" s="2">
        <v>45600</v>
      </c>
      <c r="F447" s="1">
        <v>50</v>
      </c>
      <c r="G447" s="1">
        <v>34</v>
      </c>
      <c r="H447" s="2" t="s">
        <v>26</v>
      </c>
      <c r="J447" s="2" t="s">
        <v>26</v>
      </c>
      <c r="K447" s="2">
        <v>10000</v>
      </c>
      <c r="L447" s="2" t="s">
        <v>26</v>
      </c>
      <c r="M447" s="1">
        <v>2872</v>
      </c>
      <c r="N447" t="s">
        <v>32</v>
      </c>
      <c r="O447" s="5">
        <f>EDATE(O446,1)</f>
        <v>41730</v>
      </c>
      <c r="P447">
        <v>34</v>
      </c>
      <c r="Q447">
        <v>35</v>
      </c>
      <c r="R447" s="2">
        <v>0</v>
      </c>
      <c r="S447">
        <v>50</v>
      </c>
      <c r="T447" s="2">
        <v>0</v>
      </c>
      <c r="U447" t="s">
        <v>29</v>
      </c>
      <c r="V447" t="s">
        <v>29</v>
      </c>
      <c r="W447">
        <v>0</v>
      </c>
      <c r="X447">
        <v>0</v>
      </c>
      <c r="Y447">
        <v>0</v>
      </c>
    </row>
    <row r="448" spans="1:25" x14ac:dyDescent="0.25">
      <c r="A448">
        <v>3</v>
      </c>
      <c r="B448" s="1">
        <v>1010</v>
      </c>
      <c r="C448" s="2" t="s">
        <v>36</v>
      </c>
      <c r="D448" s="2">
        <v>100000</v>
      </c>
      <c r="E448" s="2">
        <v>44000</v>
      </c>
      <c r="F448" s="1">
        <v>50</v>
      </c>
      <c r="G448" s="1">
        <v>35</v>
      </c>
      <c r="H448" s="2" t="s">
        <v>26</v>
      </c>
      <c r="J448" s="2" t="s">
        <v>26</v>
      </c>
      <c r="K448" s="2">
        <v>10000</v>
      </c>
      <c r="L448" s="2" t="s">
        <v>26</v>
      </c>
      <c r="M448" s="1">
        <v>2872</v>
      </c>
      <c r="N448" t="s">
        <v>32</v>
      </c>
      <c r="O448" s="5">
        <f>EDATE(O447,1)</f>
        <v>41760</v>
      </c>
      <c r="P448">
        <v>35</v>
      </c>
      <c r="Q448">
        <v>36</v>
      </c>
      <c r="R448" s="2">
        <v>0</v>
      </c>
      <c r="S448">
        <v>50</v>
      </c>
      <c r="T448" s="2">
        <v>0</v>
      </c>
      <c r="U448" t="s">
        <v>29</v>
      </c>
      <c r="V448" t="s">
        <v>29</v>
      </c>
      <c r="W448">
        <v>0</v>
      </c>
      <c r="X448">
        <v>0</v>
      </c>
      <c r="Y448">
        <v>0</v>
      </c>
    </row>
    <row r="449" spans="1:25" x14ac:dyDescent="0.25">
      <c r="A449">
        <v>3</v>
      </c>
      <c r="B449" s="1">
        <v>1010</v>
      </c>
      <c r="C449" s="2" t="s">
        <v>36</v>
      </c>
      <c r="D449" s="2">
        <v>100000</v>
      </c>
      <c r="E449" s="2">
        <v>42400</v>
      </c>
      <c r="F449" s="1">
        <v>50</v>
      </c>
      <c r="G449" s="1">
        <v>36</v>
      </c>
      <c r="H449" s="2" t="s">
        <v>26</v>
      </c>
      <c r="J449" s="2" t="s">
        <v>26</v>
      </c>
      <c r="K449" s="2">
        <v>10000</v>
      </c>
      <c r="L449" s="2" t="s">
        <v>26</v>
      </c>
      <c r="M449" s="1">
        <v>2872</v>
      </c>
      <c r="N449" t="s">
        <v>32</v>
      </c>
      <c r="O449" s="5">
        <f>EDATE(O448,1)</f>
        <v>41791</v>
      </c>
      <c r="P449">
        <v>36</v>
      </c>
      <c r="Q449">
        <v>37</v>
      </c>
      <c r="R449" s="2">
        <v>0</v>
      </c>
      <c r="S449">
        <v>50</v>
      </c>
      <c r="T449" s="2">
        <v>0</v>
      </c>
      <c r="U449" t="s">
        <v>29</v>
      </c>
      <c r="V449" t="s">
        <v>29</v>
      </c>
      <c r="W449">
        <v>0</v>
      </c>
      <c r="X449">
        <v>0</v>
      </c>
      <c r="Y449">
        <v>0</v>
      </c>
    </row>
    <row r="450" spans="1:25" x14ac:dyDescent="0.25">
      <c r="A450">
        <v>3</v>
      </c>
      <c r="B450" s="1">
        <v>1010</v>
      </c>
      <c r="C450" s="2" t="s">
        <v>36</v>
      </c>
      <c r="D450" s="2">
        <v>100000</v>
      </c>
      <c r="E450" s="2">
        <v>40800</v>
      </c>
      <c r="F450" s="1">
        <v>50</v>
      </c>
      <c r="G450" s="1">
        <v>37</v>
      </c>
      <c r="H450" s="2" t="s">
        <v>26</v>
      </c>
      <c r="J450" s="2" t="s">
        <v>26</v>
      </c>
      <c r="K450" s="2">
        <v>10000</v>
      </c>
      <c r="L450" s="2" t="s">
        <v>26</v>
      </c>
      <c r="M450" s="1">
        <v>2872</v>
      </c>
      <c r="N450" t="s">
        <v>32</v>
      </c>
      <c r="O450" s="5">
        <f>EDATE(O449,1)</f>
        <v>41821</v>
      </c>
      <c r="P450">
        <v>37</v>
      </c>
      <c r="Q450">
        <v>38</v>
      </c>
      <c r="R450" s="2">
        <v>0</v>
      </c>
      <c r="S450">
        <v>50</v>
      </c>
      <c r="T450" s="2">
        <v>0</v>
      </c>
      <c r="U450" t="s">
        <v>29</v>
      </c>
      <c r="V450" t="s">
        <v>29</v>
      </c>
      <c r="W450">
        <v>0</v>
      </c>
      <c r="X450">
        <v>0</v>
      </c>
      <c r="Y450">
        <v>0</v>
      </c>
    </row>
    <row r="451" spans="1:25" x14ac:dyDescent="0.25">
      <c r="A451">
        <v>3</v>
      </c>
      <c r="B451" s="1">
        <v>1010</v>
      </c>
      <c r="C451" s="2" t="s">
        <v>36</v>
      </c>
      <c r="D451" s="2">
        <v>100000</v>
      </c>
      <c r="E451" s="2">
        <v>39200</v>
      </c>
      <c r="F451" s="1">
        <v>50</v>
      </c>
      <c r="G451" s="1">
        <v>38</v>
      </c>
      <c r="H451" s="2" t="s">
        <v>26</v>
      </c>
      <c r="J451" s="2" t="s">
        <v>26</v>
      </c>
      <c r="K451" s="2">
        <v>10000</v>
      </c>
      <c r="L451" s="2" t="s">
        <v>26</v>
      </c>
      <c r="M451" s="1">
        <v>2872</v>
      </c>
      <c r="N451" t="s">
        <v>32</v>
      </c>
      <c r="O451" s="5">
        <f>EDATE(O450,1)</f>
        <v>41852</v>
      </c>
      <c r="P451">
        <v>38</v>
      </c>
      <c r="Q451">
        <v>39</v>
      </c>
      <c r="R451" s="2">
        <v>0</v>
      </c>
      <c r="S451">
        <v>50</v>
      </c>
      <c r="T451" s="2">
        <v>0</v>
      </c>
      <c r="U451" t="s">
        <v>29</v>
      </c>
      <c r="V451" t="s">
        <v>29</v>
      </c>
      <c r="W451">
        <v>0</v>
      </c>
      <c r="X451">
        <v>0</v>
      </c>
      <c r="Y451">
        <v>0</v>
      </c>
    </row>
    <row r="452" spans="1:25" x14ac:dyDescent="0.25">
      <c r="A452">
        <v>3</v>
      </c>
      <c r="B452" s="1">
        <v>1010</v>
      </c>
      <c r="C452" s="2" t="s">
        <v>36</v>
      </c>
      <c r="D452" s="2">
        <v>100000</v>
      </c>
      <c r="E452" s="2">
        <v>37600</v>
      </c>
      <c r="F452" s="1">
        <v>50</v>
      </c>
      <c r="G452" s="1">
        <v>39</v>
      </c>
      <c r="H452" s="2" t="s">
        <v>26</v>
      </c>
      <c r="J452" s="2" t="s">
        <v>26</v>
      </c>
      <c r="K452" s="2">
        <v>10000</v>
      </c>
      <c r="L452" s="2" t="s">
        <v>26</v>
      </c>
      <c r="M452" s="1">
        <v>2872</v>
      </c>
      <c r="N452" t="s">
        <v>32</v>
      </c>
      <c r="O452" s="5">
        <f>EDATE(O451,1)</f>
        <v>41883</v>
      </c>
      <c r="P452">
        <v>39</v>
      </c>
      <c r="Q452">
        <v>40</v>
      </c>
      <c r="R452" s="2">
        <v>0</v>
      </c>
      <c r="S452">
        <v>50</v>
      </c>
      <c r="T452" s="2">
        <v>0</v>
      </c>
      <c r="U452" t="s">
        <v>29</v>
      </c>
      <c r="V452" t="s">
        <v>29</v>
      </c>
      <c r="W452">
        <v>0</v>
      </c>
      <c r="X452">
        <v>0</v>
      </c>
      <c r="Y452">
        <v>0</v>
      </c>
    </row>
    <row r="453" spans="1:25" x14ac:dyDescent="0.25">
      <c r="A453">
        <v>3</v>
      </c>
      <c r="B453" s="1">
        <v>1010</v>
      </c>
      <c r="C453" s="2" t="s">
        <v>36</v>
      </c>
      <c r="D453" s="2">
        <v>100000</v>
      </c>
      <c r="E453" s="2">
        <v>36000</v>
      </c>
      <c r="F453" s="1">
        <v>50</v>
      </c>
      <c r="G453" s="1">
        <v>40</v>
      </c>
      <c r="H453" s="2" t="s">
        <v>26</v>
      </c>
      <c r="J453" s="2" t="s">
        <v>26</v>
      </c>
      <c r="K453" s="2">
        <v>10000</v>
      </c>
      <c r="L453" s="2" t="s">
        <v>26</v>
      </c>
      <c r="M453" s="1">
        <v>2872</v>
      </c>
      <c r="N453" t="s">
        <v>32</v>
      </c>
      <c r="O453" s="5">
        <f>EDATE(O452,1)</f>
        <v>41913</v>
      </c>
      <c r="P453">
        <v>40</v>
      </c>
      <c r="Q453">
        <v>41</v>
      </c>
      <c r="R453" s="2">
        <v>0</v>
      </c>
      <c r="S453">
        <v>50</v>
      </c>
      <c r="T453" s="2">
        <v>0</v>
      </c>
      <c r="U453" t="s">
        <v>29</v>
      </c>
      <c r="V453" t="s">
        <v>29</v>
      </c>
      <c r="W453">
        <v>0</v>
      </c>
      <c r="X453">
        <v>0</v>
      </c>
      <c r="Y453">
        <v>0</v>
      </c>
    </row>
    <row r="454" spans="1:25" x14ac:dyDescent="0.25">
      <c r="A454">
        <v>3</v>
      </c>
      <c r="B454" s="1">
        <v>1010</v>
      </c>
      <c r="C454" s="2" t="s">
        <v>36</v>
      </c>
      <c r="D454" s="2">
        <v>100000</v>
      </c>
      <c r="E454" s="2">
        <v>34400</v>
      </c>
      <c r="F454" s="1">
        <v>50</v>
      </c>
      <c r="G454" s="1">
        <v>41</v>
      </c>
      <c r="H454" s="2" t="s">
        <v>26</v>
      </c>
      <c r="J454" s="2" t="s">
        <v>26</v>
      </c>
      <c r="K454" s="2">
        <v>10000</v>
      </c>
      <c r="L454" s="2" t="s">
        <v>26</v>
      </c>
      <c r="M454" s="1">
        <v>2872</v>
      </c>
      <c r="N454" t="s">
        <v>32</v>
      </c>
      <c r="O454" s="5">
        <f>EDATE(O453,1)</f>
        <v>41944</v>
      </c>
      <c r="P454">
        <v>41</v>
      </c>
      <c r="Q454">
        <v>42</v>
      </c>
      <c r="R454" s="2">
        <v>0</v>
      </c>
      <c r="S454">
        <v>50</v>
      </c>
      <c r="T454" s="2">
        <v>0</v>
      </c>
      <c r="U454" t="s">
        <v>29</v>
      </c>
      <c r="V454" t="s">
        <v>29</v>
      </c>
      <c r="W454">
        <v>0</v>
      </c>
      <c r="X454">
        <v>0</v>
      </c>
      <c r="Y454">
        <v>0</v>
      </c>
    </row>
    <row r="455" spans="1:25" x14ac:dyDescent="0.25">
      <c r="A455">
        <v>3</v>
      </c>
      <c r="B455" s="1">
        <v>1010</v>
      </c>
      <c r="C455" s="2" t="s">
        <v>36</v>
      </c>
      <c r="D455" s="2">
        <v>100000</v>
      </c>
      <c r="E455" s="2">
        <v>32800</v>
      </c>
      <c r="F455" s="1">
        <v>50</v>
      </c>
      <c r="G455" s="1">
        <v>42</v>
      </c>
      <c r="H455" s="2" t="s">
        <v>26</v>
      </c>
      <c r="J455" s="2" t="s">
        <v>26</v>
      </c>
      <c r="K455" s="2">
        <v>10000</v>
      </c>
      <c r="L455" s="2" t="s">
        <v>26</v>
      </c>
      <c r="M455" s="1">
        <v>2872</v>
      </c>
      <c r="N455" t="s">
        <v>32</v>
      </c>
      <c r="O455" s="5">
        <f>EDATE(O454,1)</f>
        <v>41974</v>
      </c>
      <c r="P455">
        <v>42</v>
      </c>
      <c r="Q455">
        <v>43</v>
      </c>
      <c r="R455" s="2">
        <v>0</v>
      </c>
      <c r="S455">
        <v>50</v>
      </c>
      <c r="T455" s="2">
        <v>0</v>
      </c>
      <c r="U455" t="s">
        <v>29</v>
      </c>
      <c r="V455" t="s">
        <v>29</v>
      </c>
      <c r="W455">
        <v>0</v>
      </c>
      <c r="X455">
        <v>0</v>
      </c>
      <c r="Y455">
        <v>0</v>
      </c>
    </row>
    <row r="456" spans="1:25" x14ac:dyDescent="0.25">
      <c r="A456">
        <v>3</v>
      </c>
      <c r="B456" s="1">
        <v>1010</v>
      </c>
      <c r="C456" s="2" t="s">
        <v>36</v>
      </c>
      <c r="D456" s="2">
        <v>100000</v>
      </c>
      <c r="E456" s="2">
        <v>31200</v>
      </c>
      <c r="F456" s="1">
        <v>50</v>
      </c>
      <c r="G456" s="1">
        <v>43</v>
      </c>
      <c r="H456" s="2" t="s">
        <v>26</v>
      </c>
      <c r="J456" s="2" t="s">
        <v>26</v>
      </c>
      <c r="K456" s="2">
        <v>10000</v>
      </c>
      <c r="L456" s="2" t="s">
        <v>26</v>
      </c>
      <c r="M456" s="1">
        <v>2872</v>
      </c>
      <c r="N456" t="s">
        <v>32</v>
      </c>
      <c r="O456" s="5">
        <f>EDATE(O455,1)</f>
        <v>42005</v>
      </c>
      <c r="P456">
        <v>43</v>
      </c>
      <c r="Q456">
        <v>44</v>
      </c>
      <c r="R456" s="2">
        <v>0</v>
      </c>
      <c r="S456">
        <v>50</v>
      </c>
      <c r="T456" s="2">
        <v>0</v>
      </c>
      <c r="U456" t="s">
        <v>29</v>
      </c>
      <c r="V456" t="s">
        <v>29</v>
      </c>
      <c r="W456">
        <v>0</v>
      </c>
      <c r="X456">
        <v>0</v>
      </c>
      <c r="Y456">
        <v>0</v>
      </c>
    </row>
    <row r="457" spans="1:25" x14ac:dyDescent="0.25">
      <c r="A457">
        <v>3</v>
      </c>
      <c r="B457" s="1">
        <v>1010</v>
      </c>
      <c r="C457" s="2" t="s">
        <v>36</v>
      </c>
      <c r="D457" s="2">
        <v>100000</v>
      </c>
      <c r="E457" s="2">
        <v>29600</v>
      </c>
      <c r="F457" s="1">
        <v>50</v>
      </c>
      <c r="G457" s="1">
        <v>44</v>
      </c>
      <c r="H457" s="2" t="s">
        <v>26</v>
      </c>
      <c r="J457" s="2" t="s">
        <v>26</v>
      </c>
      <c r="K457" s="2">
        <v>10000</v>
      </c>
      <c r="L457" s="2" t="s">
        <v>26</v>
      </c>
      <c r="M457" s="1">
        <v>2872</v>
      </c>
      <c r="N457" t="s">
        <v>32</v>
      </c>
      <c r="O457" s="5">
        <f>EDATE(O456,1)</f>
        <v>42036</v>
      </c>
      <c r="P457">
        <v>44</v>
      </c>
      <c r="Q457">
        <v>45</v>
      </c>
      <c r="R457" s="2">
        <v>0</v>
      </c>
      <c r="S457">
        <v>50</v>
      </c>
      <c r="T457" s="2">
        <v>0</v>
      </c>
      <c r="U457" t="s">
        <v>29</v>
      </c>
      <c r="V457" t="s">
        <v>29</v>
      </c>
      <c r="W457">
        <v>0</v>
      </c>
      <c r="X457">
        <v>0</v>
      </c>
      <c r="Y457">
        <v>0</v>
      </c>
    </row>
    <row r="458" spans="1:25" x14ac:dyDescent="0.25">
      <c r="A458">
        <v>3</v>
      </c>
      <c r="B458" s="1">
        <v>1010</v>
      </c>
      <c r="C458" s="2" t="s">
        <v>36</v>
      </c>
      <c r="D458" s="2">
        <v>100000</v>
      </c>
      <c r="E458" s="2">
        <v>28000</v>
      </c>
      <c r="F458" s="1">
        <v>50</v>
      </c>
      <c r="G458" s="1">
        <v>45</v>
      </c>
      <c r="H458" s="2" t="s">
        <v>26</v>
      </c>
      <c r="J458" s="2" t="s">
        <v>26</v>
      </c>
      <c r="K458" s="2">
        <v>10000</v>
      </c>
      <c r="L458" s="2" t="s">
        <v>26</v>
      </c>
      <c r="M458" s="1">
        <v>2872</v>
      </c>
      <c r="N458" t="s">
        <v>32</v>
      </c>
      <c r="O458" s="5">
        <f>EDATE(O457,1)</f>
        <v>42064</v>
      </c>
      <c r="P458">
        <v>45</v>
      </c>
      <c r="Q458">
        <v>46</v>
      </c>
      <c r="R458" s="2">
        <v>0</v>
      </c>
      <c r="S458">
        <v>50</v>
      </c>
      <c r="T458" s="2">
        <v>0</v>
      </c>
      <c r="U458" t="s">
        <v>29</v>
      </c>
      <c r="V458" t="s">
        <v>29</v>
      </c>
      <c r="W458">
        <v>0</v>
      </c>
      <c r="X458">
        <v>0</v>
      </c>
      <c r="Y458">
        <v>0</v>
      </c>
    </row>
    <row r="459" spans="1:25" x14ac:dyDescent="0.25">
      <c r="A459">
        <v>3</v>
      </c>
      <c r="B459" s="1">
        <v>1010</v>
      </c>
      <c r="C459" s="2" t="s">
        <v>36</v>
      </c>
      <c r="D459" s="2">
        <v>100000</v>
      </c>
      <c r="E459" s="2">
        <v>26400</v>
      </c>
      <c r="F459" s="1">
        <v>50</v>
      </c>
      <c r="G459" s="1">
        <v>46</v>
      </c>
      <c r="H459" s="2" t="s">
        <v>26</v>
      </c>
      <c r="J459" s="2" t="s">
        <v>26</v>
      </c>
      <c r="K459" s="2">
        <v>10000</v>
      </c>
      <c r="L459" s="2" t="s">
        <v>26</v>
      </c>
      <c r="M459" s="1">
        <v>2872</v>
      </c>
      <c r="N459" t="s">
        <v>32</v>
      </c>
      <c r="O459" s="5">
        <f>EDATE(O458,1)</f>
        <v>42095</v>
      </c>
      <c r="P459">
        <v>46</v>
      </c>
      <c r="Q459">
        <v>47</v>
      </c>
      <c r="R459" s="2">
        <v>0</v>
      </c>
      <c r="S459">
        <v>50</v>
      </c>
      <c r="T459" s="2">
        <v>0</v>
      </c>
      <c r="U459" t="s">
        <v>29</v>
      </c>
      <c r="V459" t="s">
        <v>29</v>
      </c>
      <c r="W459">
        <v>0</v>
      </c>
      <c r="X459">
        <v>0</v>
      </c>
      <c r="Y459">
        <v>0</v>
      </c>
    </row>
    <row r="460" spans="1:25" x14ac:dyDescent="0.25">
      <c r="A460">
        <v>3</v>
      </c>
      <c r="B460" s="1">
        <v>1010</v>
      </c>
      <c r="C460" s="2" t="s">
        <v>36</v>
      </c>
      <c r="D460" s="2">
        <v>100000</v>
      </c>
      <c r="E460" s="2">
        <v>24800</v>
      </c>
      <c r="F460" s="1">
        <v>50</v>
      </c>
      <c r="G460" s="1">
        <v>47</v>
      </c>
      <c r="H460" s="2" t="s">
        <v>26</v>
      </c>
      <c r="J460" s="2" t="s">
        <v>26</v>
      </c>
      <c r="K460" s="2">
        <v>10000</v>
      </c>
      <c r="L460" s="2" t="s">
        <v>26</v>
      </c>
      <c r="M460" s="1">
        <v>2872</v>
      </c>
      <c r="N460" t="s">
        <v>32</v>
      </c>
      <c r="O460" s="5">
        <f>EDATE(O459,1)</f>
        <v>42125</v>
      </c>
      <c r="P460">
        <v>47</v>
      </c>
      <c r="Q460">
        <v>48</v>
      </c>
      <c r="R460" s="2">
        <v>0</v>
      </c>
      <c r="S460">
        <v>50</v>
      </c>
      <c r="T460" s="2">
        <v>0</v>
      </c>
      <c r="U460" t="s">
        <v>29</v>
      </c>
      <c r="V460" t="s">
        <v>29</v>
      </c>
      <c r="W460">
        <v>0</v>
      </c>
      <c r="X460">
        <v>0</v>
      </c>
      <c r="Y460">
        <v>0</v>
      </c>
    </row>
    <row r="461" spans="1:25" x14ac:dyDescent="0.25">
      <c r="A461">
        <v>3</v>
      </c>
      <c r="B461" s="1">
        <v>1010</v>
      </c>
      <c r="C461" s="2" t="s">
        <v>36</v>
      </c>
      <c r="D461" s="2">
        <v>100000</v>
      </c>
      <c r="E461" s="2">
        <v>23200</v>
      </c>
      <c r="F461" s="1">
        <v>50</v>
      </c>
      <c r="G461" s="1">
        <v>48</v>
      </c>
      <c r="H461" s="2" t="s">
        <v>26</v>
      </c>
      <c r="J461" s="2" t="s">
        <v>26</v>
      </c>
      <c r="K461" s="2">
        <v>10000</v>
      </c>
      <c r="L461" s="2" t="s">
        <v>26</v>
      </c>
      <c r="M461" s="1">
        <v>2872</v>
      </c>
      <c r="N461" t="s">
        <v>32</v>
      </c>
      <c r="O461" s="5">
        <f>EDATE(O460,1)</f>
        <v>42156</v>
      </c>
      <c r="P461">
        <v>48</v>
      </c>
      <c r="Q461">
        <v>49</v>
      </c>
      <c r="R461" s="2">
        <v>0</v>
      </c>
      <c r="S461">
        <v>50</v>
      </c>
      <c r="T461" s="2">
        <v>0</v>
      </c>
      <c r="U461" t="s">
        <v>29</v>
      </c>
      <c r="V461" t="s">
        <v>29</v>
      </c>
      <c r="W461">
        <v>0</v>
      </c>
      <c r="X461">
        <v>0</v>
      </c>
      <c r="Y461">
        <v>0</v>
      </c>
    </row>
    <row r="462" spans="1:25" x14ac:dyDescent="0.25">
      <c r="A462">
        <v>3</v>
      </c>
      <c r="B462" s="1">
        <v>1010</v>
      </c>
      <c r="C462" s="2" t="s">
        <v>36</v>
      </c>
      <c r="D462" s="2">
        <v>100000</v>
      </c>
      <c r="E462" s="2">
        <v>21600</v>
      </c>
      <c r="F462" s="1">
        <v>50</v>
      </c>
      <c r="G462" s="1">
        <v>49</v>
      </c>
      <c r="H462" s="2" t="s">
        <v>26</v>
      </c>
      <c r="J462" s="2" t="s">
        <v>26</v>
      </c>
      <c r="K462" s="2">
        <v>10000</v>
      </c>
      <c r="L462" s="2" t="s">
        <v>26</v>
      </c>
      <c r="M462" s="1">
        <v>2872</v>
      </c>
      <c r="N462" t="s">
        <v>32</v>
      </c>
      <c r="O462" s="5">
        <f>EDATE(O461,1)</f>
        <v>42186</v>
      </c>
      <c r="P462">
        <v>49</v>
      </c>
      <c r="Q462">
        <v>50</v>
      </c>
      <c r="R462" s="2">
        <v>0</v>
      </c>
      <c r="S462">
        <v>50</v>
      </c>
      <c r="T462" s="2">
        <v>0</v>
      </c>
      <c r="U462" t="s">
        <v>29</v>
      </c>
      <c r="V462" t="s">
        <v>29</v>
      </c>
      <c r="W462">
        <v>0</v>
      </c>
      <c r="X462">
        <v>0</v>
      </c>
      <c r="Y462">
        <v>0</v>
      </c>
    </row>
    <row r="463" spans="1:25" x14ac:dyDescent="0.25">
      <c r="A463">
        <v>3</v>
      </c>
      <c r="B463" s="1">
        <v>1010</v>
      </c>
      <c r="C463" s="2" t="s">
        <v>36</v>
      </c>
      <c r="D463" s="2">
        <v>100000</v>
      </c>
      <c r="E463" s="2">
        <v>20000</v>
      </c>
      <c r="F463" s="1">
        <v>50</v>
      </c>
      <c r="G463" s="1">
        <v>50</v>
      </c>
      <c r="H463" s="2" t="s">
        <v>26</v>
      </c>
      <c r="J463" s="2" t="s">
        <v>26</v>
      </c>
      <c r="K463" s="2">
        <v>10000</v>
      </c>
      <c r="L463" s="2" t="s">
        <v>26</v>
      </c>
      <c r="M463" s="1">
        <v>2872</v>
      </c>
      <c r="N463" t="s">
        <v>32</v>
      </c>
      <c r="O463" s="5">
        <f>EDATE(O462,1)</f>
        <v>42217</v>
      </c>
      <c r="P463">
        <v>50</v>
      </c>
      <c r="Q463">
        <v>51</v>
      </c>
      <c r="R463" s="2">
        <v>0</v>
      </c>
      <c r="S463">
        <v>50</v>
      </c>
      <c r="T463" s="2">
        <v>0</v>
      </c>
      <c r="U463" t="s">
        <v>29</v>
      </c>
      <c r="V463" t="s">
        <v>29</v>
      </c>
      <c r="W463">
        <v>0</v>
      </c>
      <c r="X463">
        <v>0</v>
      </c>
      <c r="Y463">
        <v>0</v>
      </c>
    </row>
    <row r="464" spans="1:25" x14ac:dyDescent="0.25">
      <c r="A464">
        <v>3</v>
      </c>
      <c r="B464" s="1">
        <v>1010</v>
      </c>
      <c r="C464" s="2" t="s">
        <v>36</v>
      </c>
      <c r="D464" s="2">
        <v>100000</v>
      </c>
      <c r="E464" s="2">
        <v>18400</v>
      </c>
      <c r="F464" s="1">
        <v>50</v>
      </c>
      <c r="G464" s="1">
        <v>51</v>
      </c>
      <c r="H464" s="2" t="s">
        <v>26</v>
      </c>
      <c r="J464" s="2" t="s">
        <v>26</v>
      </c>
      <c r="K464" s="2">
        <v>10000</v>
      </c>
      <c r="L464" s="2" t="s">
        <v>26</v>
      </c>
      <c r="M464" s="1">
        <v>2872</v>
      </c>
      <c r="N464" t="s">
        <v>32</v>
      </c>
      <c r="O464" s="5">
        <f>EDATE(O463,1)</f>
        <v>42248</v>
      </c>
      <c r="P464">
        <v>51</v>
      </c>
      <c r="Q464">
        <v>999</v>
      </c>
      <c r="S464">
        <v>50</v>
      </c>
      <c r="T464" s="2">
        <v>0</v>
      </c>
      <c r="U464" t="s">
        <v>29</v>
      </c>
      <c r="V464" t="s">
        <v>29</v>
      </c>
      <c r="W464">
        <v>0</v>
      </c>
      <c r="X464">
        <v>0</v>
      </c>
      <c r="Y464">
        <v>0</v>
      </c>
    </row>
    <row r="465" spans="1:25" x14ac:dyDescent="0.25">
      <c r="A465">
        <v>3</v>
      </c>
      <c r="B465" s="1">
        <v>1010</v>
      </c>
      <c r="C465" s="2" t="s">
        <v>36</v>
      </c>
      <c r="D465" s="2">
        <v>100000</v>
      </c>
      <c r="E465" s="2">
        <v>98400</v>
      </c>
      <c r="F465" s="1">
        <v>50</v>
      </c>
      <c r="G465" s="1">
        <v>1</v>
      </c>
      <c r="H465" s="2" t="s">
        <v>26</v>
      </c>
      <c r="J465" s="2" t="s">
        <v>26</v>
      </c>
      <c r="K465" s="2">
        <v>10000</v>
      </c>
      <c r="L465" s="2" t="s">
        <v>26</v>
      </c>
      <c r="M465" s="1">
        <v>2896</v>
      </c>
      <c r="N465" t="s">
        <v>33</v>
      </c>
      <c r="O465" s="5">
        <v>40725</v>
      </c>
      <c r="P465">
        <v>1</v>
      </c>
      <c r="Q465">
        <v>2</v>
      </c>
      <c r="R465" s="2">
        <f>PPMT((0.1/12),1,50,-10000,0,0)</f>
        <v>162.0388077612684</v>
      </c>
      <c r="S465">
        <v>50</v>
      </c>
      <c r="T465" s="2">
        <v>162.0388077612684</v>
      </c>
      <c r="U465" t="s">
        <v>29</v>
      </c>
      <c r="V465" t="s">
        <v>29</v>
      </c>
      <c r="W465">
        <v>0</v>
      </c>
      <c r="X465">
        <v>0</v>
      </c>
      <c r="Y465">
        <v>0</v>
      </c>
    </row>
    <row r="466" spans="1:25" x14ac:dyDescent="0.25">
      <c r="A466">
        <v>3</v>
      </c>
      <c r="B466" s="1">
        <v>1010</v>
      </c>
      <c r="C466" s="2" t="s">
        <v>36</v>
      </c>
      <c r="D466" s="2">
        <v>100000</v>
      </c>
      <c r="E466" s="2">
        <v>96800</v>
      </c>
      <c r="F466" s="1">
        <v>50</v>
      </c>
      <c r="G466" s="1">
        <v>2</v>
      </c>
      <c r="H466" s="2" t="s">
        <v>26</v>
      </c>
      <c r="J466" s="2" t="s">
        <v>26</v>
      </c>
      <c r="K466" s="2">
        <v>10000</v>
      </c>
      <c r="L466" s="2" t="s">
        <v>26</v>
      </c>
      <c r="M466" s="1">
        <v>2896</v>
      </c>
      <c r="N466" t="s">
        <v>33</v>
      </c>
      <c r="O466" s="5">
        <f>EDATE(O465,1)</f>
        <v>40756</v>
      </c>
      <c r="P466">
        <v>2</v>
      </c>
      <c r="Q466">
        <v>3</v>
      </c>
      <c r="R466" s="2">
        <f>PPMT((0.1/12),2,50,-10000,0,0)</f>
        <v>163.38913115927895</v>
      </c>
      <c r="S466">
        <v>50</v>
      </c>
      <c r="T466" s="2">
        <v>163.38913115927895</v>
      </c>
      <c r="U466" t="s">
        <v>29</v>
      </c>
      <c r="V466" t="s">
        <v>29</v>
      </c>
      <c r="W466">
        <v>0</v>
      </c>
      <c r="X466">
        <v>0</v>
      </c>
      <c r="Y466">
        <v>0</v>
      </c>
    </row>
    <row r="467" spans="1:25" x14ac:dyDescent="0.25">
      <c r="A467">
        <v>3</v>
      </c>
      <c r="B467" s="1">
        <v>1010</v>
      </c>
      <c r="C467" s="2" t="s">
        <v>36</v>
      </c>
      <c r="D467" s="2">
        <v>100000</v>
      </c>
      <c r="E467" s="2">
        <v>95200</v>
      </c>
      <c r="F467" s="1">
        <v>50</v>
      </c>
      <c r="G467" s="1">
        <v>3</v>
      </c>
      <c r="H467" s="2" t="s">
        <v>26</v>
      </c>
      <c r="J467" s="2" t="s">
        <v>26</v>
      </c>
      <c r="K467" s="2">
        <v>10000</v>
      </c>
      <c r="L467" s="2" t="s">
        <v>26</v>
      </c>
      <c r="M467" s="1">
        <v>2896</v>
      </c>
      <c r="N467" t="s">
        <v>33</v>
      </c>
      <c r="O467" s="5">
        <f>EDATE(O466,1)</f>
        <v>40787</v>
      </c>
      <c r="P467">
        <v>3</v>
      </c>
      <c r="Q467">
        <v>4</v>
      </c>
      <c r="R467" s="2">
        <f>PPMT((0.1/12),3,50,-10000,0,0)</f>
        <v>164.75070725227297</v>
      </c>
      <c r="S467">
        <v>50</v>
      </c>
      <c r="T467" s="2">
        <v>164.75070725227297</v>
      </c>
      <c r="U467" t="s">
        <v>29</v>
      </c>
      <c r="V467" t="s">
        <v>29</v>
      </c>
      <c r="W467">
        <v>0</v>
      </c>
      <c r="X467">
        <v>0</v>
      </c>
      <c r="Y467">
        <v>0</v>
      </c>
    </row>
    <row r="468" spans="1:25" x14ac:dyDescent="0.25">
      <c r="A468">
        <v>3</v>
      </c>
      <c r="B468" s="1">
        <v>1010</v>
      </c>
      <c r="C468" s="2" t="s">
        <v>36</v>
      </c>
      <c r="D468" s="2">
        <v>100000</v>
      </c>
      <c r="E468" s="2">
        <v>93600</v>
      </c>
      <c r="F468" s="1">
        <v>50</v>
      </c>
      <c r="G468" s="1">
        <v>4</v>
      </c>
      <c r="H468" s="2" t="s">
        <v>26</v>
      </c>
      <c r="J468" s="2" t="s">
        <v>26</v>
      </c>
      <c r="K468" s="2">
        <v>10000</v>
      </c>
      <c r="L468" s="2" t="s">
        <v>26</v>
      </c>
      <c r="M468" s="1">
        <v>2896</v>
      </c>
      <c r="N468" t="s">
        <v>33</v>
      </c>
      <c r="O468" s="5">
        <f>EDATE(O467,1)</f>
        <v>40817</v>
      </c>
      <c r="P468">
        <v>4</v>
      </c>
      <c r="Q468">
        <v>5</v>
      </c>
      <c r="R468" s="2">
        <f>PPMT((0.1/12),4,50,-10000,0,0)</f>
        <v>166.12362981270857</v>
      </c>
      <c r="S468">
        <v>50</v>
      </c>
      <c r="T468" s="2">
        <v>166.12362981270857</v>
      </c>
      <c r="U468" t="s">
        <v>29</v>
      </c>
      <c r="V468" t="s">
        <v>29</v>
      </c>
      <c r="W468">
        <v>0</v>
      </c>
      <c r="X468">
        <v>0</v>
      </c>
      <c r="Y468">
        <v>0</v>
      </c>
    </row>
    <row r="469" spans="1:25" x14ac:dyDescent="0.25">
      <c r="A469">
        <v>3</v>
      </c>
      <c r="B469" s="1">
        <v>1010</v>
      </c>
      <c r="C469" s="2" t="s">
        <v>36</v>
      </c>
      <c r="D469" s="2">
        <v>100000</v>
      </c>
      <c r="E469" s="2">
        <v>92000</v>
      </c>
      <c r="F469" s="1">
        <v>50</v>
      </c>
      <c r="G469" s="1">
        <v>5</v>
      </c>
      <c r="H469" s="2" t="s">
        <v>26</v>
      </c>
      <c r="J469" s="2" t="s">
        <v>26</v>
      </c>
      <c r="K469" s="2">
        <v>10000</v>
      </c>
      <c r="L469" s="2" t="s">
        <v>26</v>
      </c>
      <c r="M469" s="1">
        <v>2896</v>
      </c>
      <c r="N469" t="s">
        <v>33</v>
      </c>
      <c r="O469" s="5">
        <f>EDATE(O468,1)</f>
        <v>40848</v>
      </c>
      <c r="P469">
        <v>5</v>
      </c>
      <c r="Q469">
        <v>6</v>
      </c>
      <c r="R469" s="2">
        <f>PPMT((0.1/12),5,50,-10000,0,0)</f>
        <v>167.50799339448113</v>
      </c>
      <c r="S469">
        <v>50</v>
      </c>
      <c r="T469" s="2">
        <v>167.50799339448113</v>
      </c>
      <c r="U469" t="s">
        <v>29</v>
      </c>
      <c r="V469" t="s">
        <v>29</v>
      </c>
      <c r="W469">
        <v>0</v>
      </c>
      <c r="X469">
        <v>0</v>
      </c>
      <c r="Y469">
        <v>0</v>
      </c>
    </row>
    <row r="470" spans="1:25" x14ac:dyDescent="0.25">
      <c r="A470">
        <v>3</v>
      </c>
      <c r="B470" s="1">
        <v>1010</v>
      </c>
      <c r="C470" s="2" t="s">
        <v>36</v>
      </c>
      <c r="D470" s="2">
        <v>100000</v>
      </c>
      <c r="E470" s="2">
        <v>90400</v>
      </c>
      <c r="F470" s="1">
        <v>50</v>
      </c>
      <c r="G470" s="1">
        <v>6</v>
      </c>
      <c r="H470" s="2" t="s">
        <v>26</v>
      </c>
      <c r="J470" s="2" t="s">
        <v>26</v>
      </c>
      <c r="K470" s="2">
        <v>10000</v>
      </c>
      <c r="L470" s="2" t="s">
        <v>26</v>
      </c>
      <c r="M470" s="1">
        <v>2896</v>
      </c>
      <c r="N470" t="s">
        <v>33</v>
      </c>
      <c r="O470" s="5">
        <f>EDATE(O469,1)</f>
        <v>40878</v>
      </c>
      <c r="P470">
        <v>6</v>
      </c>
      <c r="Q470">
        <v>7</v>
      </c>
      <c r="R470" s="2">
        <f>PPMT((0.1/12),6,50,-10000,0,0)</f>
        <v>168.90389333943514</v>
      </c>
      <c r="S470">
        <v>50</v>
      </c>
      <c r="T470" s="2">
        <v>168.90389333943514</v>
      </c>
      <c r="U470" t="s">
        <v>29</v>
      </c>
      <c r="V470" t="s">
        <v>29</v>
      </c>
      <c r="W470">
        <v>0</v>
      </c>
      <c r="X470">
        <v>0</v>
      </c>
      <c r="Y470">
        <v>0</v>
      </c>
    </row>
    <row r="471" spans="1:25" x14ac:dyDescent="0.25">
      <c r="A471">
        <v>3</v>
      </c>
      <c r="B471" s="1">
        <v>1010</v>
      </c>
      <c r="C471" s="2" t="s">
        <v>36</v>
      </c>
      <c r="D471" s="2">
        <v>100000</v>
      </c>
      <c r="E471" s="2">
        <v>88800</v>
      </c>
      <c r="F471" s="1">
        <v>50</v>
      </c>
      <c r="G471" s="1">
        <v>7</v>
      </c>
      <c r="H471" s="2" t="s">
        <v>26</v>
      </c>
      <c r="J471" s="2" t="s">
        <v>26</v>
      </c>
      <c r="K471" s="2">
        <v>10000</v>
      </c>
      <c r="L471" s="2" t="s">
        <v>26</v>
      </c>
      <c r="M471" s="1">
        <v>2896</v>
      </c>
      <c r="N471" t="s">
        <v>33</v>
      </c>
      <c r="O471" s="5">
        <f>EDATE(O470,1)</f>
        <v>40909</v>
      </c>
      <c r="P471">
        <v>7</v>
      </c>
      <c r="Q471">
        <v>8</v>
      </c>
      <c r="R471" s="2">
        <f>PPMT((0.1/12),7,50,-10000,0,0)</f>
        <v>170.31142578393042</v>
      </c>
      <c r="S471">
        <v>50</v>
      </c>
      <c r="T471" s="2">
        <v>170.31142578393042</v>
      </c>
      <c r="U471" t="s">
        <v>29</v>
      </c>
      <c r="V471" t="s">
        <v>29</v>
      </c>
      <c r="W471">
        <v>0</v>
      </c>
      <c r="X471">
        <v>0</v>
      </c>
      <c r="Y471">
        <v>0</v>
      </c>
    </row>
    <row r="472" spans="1:25" x14ac:dyDescent="0.25">
      <c r="A472">
        <v>3</v>
      </c>
      <c r="B472" s="1">
        <v>1010</v>
      </c>
      <c r="C472" s="2" t="s">
        <v>36</v>
      </c>
      <c r="D472" s="2">
        <v>100000</v>
      </c>
      <c r="E472" s="2">
        <v>87200</v>
      </c>
      <c r="F472" s="1">
        <v>50</v>
      </c>
      <c r="G472" s="1">
        <v>8</v>
      </c>
      <c r="H472" s="2" t="s">
        <v>26</v>
      </c>
      <c r="J472" s="2" t="s">
        <v>26</v>
      </c>
      <c r="K472" s="2">
        <v>10000</v>
      </c>
      <c r="L472" s="2" t="s">
        <v>26</v>
      </c>
      <c r="M472" s="1">
        <v>2896</v>
      </c>
      <c r="N472" t="s">
        <v>33</v>
      </c>
      <c r="O472" s="5">
        <f>EDATE(O471,1)</f>
        <v>40940</v>
      </c>
      <c r="P472">
        <v>8</v>
      </c>
      <c r="Q472">
        <v>9</v>
      </c>
      <c r="R472" s="2">
        <f>PPMT((0.1/12),8,50,-10000,0,0)</f>
        <v>171.73068766546322</v>
      </c>
      <c r="S472">
        <v>50</v>
      </c>
      <c r="T472" s="2">
        <v>171.73068766546322</v>
      </c>
      <c r="U472" t="s">
        <v>29</v>
      </c>
      <c r="V472" t="s">
        <v>29</v>
      </c>
      <c r="W472">
        <v>0</v>
      </c>
      <c r="X472">
        <v>0</v>
      </c>
      <c r="Y472">
        <v>0</v>
      </c>
    </row>
    <row r="473" spans="1:25" x14ac:dyDescent="0.25">
      <c r="A473">
        <v>3</v>
      </c>
      <c r="B473" s="1">
        <v>1010</v>
      </c>
      <c r="C473" s="2" t="s">
        <v>36</v>
      </c>
      <c r="D473" s="2">
        <v>100000</v>
      </c>
      <c r="E473" s="2">
        <v>85600</v>
      </c>
      <c r="F473" s="1">
        <v>50</v>
      </c>
      <c r="G473" s="1">
        <v>9</v>
      </c>
      <c r="H473" s="2" t="s">
        <v>26</v>
      </c>
      <c r="J473" s="2" t="s">
        <v>26</v>
      </c>
      <c r="K473" s="2">
        <v>10000</v>
      </c>
      <c r="L473" s="2" t="s">
        <v>26</v>
      </c>
      <c r="M473" s="1">
        <v>2896</v>
      </c>
      <c r="N473" t="s">
        <v>33</v>
      </c>
      <c r="O473" s="5">
        <f>EDATE(O472,1)</f>
        <v>40969</v>
      </c>
      <c r="P473">
        <v>9</v>
      </c>
      <c r="Q473">
        <v>10</v>
      </c>
      <c r="R473" s="2">
        <f>PPMT((0.1/12),9,50,-10000,0,0)</f>
        <v>173.16177672934205</v>
      </c>
      <c r="S473">
        <v>50</v>
      </c>
      <c r="T473" s="2">
        <v>173.16177672934205</v>
      </c>
      <c r="U473" t="s">
        <v>29</v>
      </c>
      <c r="V473" t="s">
        <v>29</v>
      </c>
      <c r="W473">
        <v>0</v>
      </c>
      <c r="X473">
        <v>0</v>
      </c>
      <c r="Y473">
        <v>0</v>
      </c>
    </row>
    <row r="474" spans="1:25" x14ac:dyDescent="0.25">
      <c r="A474">
        <v>3</v>
      </c>
      <c r="B474" s="1">
        <v>1010</v>
      </c>
      <c r="C474" s="2" t="s">
        <v>36</v>
      </c>
      <c r="D474" s="2">
        <v>100000</v>
      </c>
      <c r="E474" s="2">
        <v>84000</v>
      </c>
      <c r="F474" s="1">
        <v>50</v>
      </c>
      <c r="G474" s="1">
        <v>10</v>
      </c>
      <c r="H474" s="2" t="s">
        <v>26</v>
      </c>
      <c r="J474" s="2" t="s">
        <v>26</v>
      </c>
      <c r="K474" s="2">
        <v>10000</v>
      </c>
      <c r="L474" s="2" t="s">
        <v>26</v>
      </c>
      <c r="M474" s="1">
        <v>2896</v>
      </c>
      <c r="N474" t="s">
        <v>33</v>
      </c>
      <c r="O474" s="5">
        <f>EDATE(O473,1)</f>
        <v>41000</v>
      </c>
      <c r="P474">
        <v>10</v>
      </c>
      <c r="Q474">
        <v>11</v>
      </c>
      <c r="R474" s="2">
        <f>PPMT((0.1/12),10,50,-10000,0,0)</f>
        <v>174.60479153541988</v>
      </c>
      <c r="S474">
        <v>50</v>
      </c>
      <c r="T474" s="2">
        <v>174.60479153541988</v>
      </c>
      <c r="U474" t="s">
        <v>29</v>
      </c>
      <c r="V474" t="s">
        <v>29</v>
      </c>
      <c r="W474">
        <v>0</v>
      </c>
      <c r="X474">
        <v>0</v>
      </c>
      <c r="Y474">
        <v>0</v>
      </c>
    </row>
    <row r="475" spans="1:25" x14ac:dyDescent="0.25">
      <c r="A475">
        <v>3</v>
      </c>
      <c r="B475" s="1">
        <v>1010</v>
      </c>
      <c r="C475" s="2" t="s">
        <v>36</v>
      </c>
      <c r="D475" s="2">
        <v>100000</v>
      </c>
      <c r="E475" s="2">
        <v>82400</v>
      </c>
      <c r="F475" s="1">
        <v>50</v>
      </c>
      <c r="G475" s="1">
        <v>11</v>
      </c>
      <c r="H475" s="2" t="s">
        <v>26</v>
      </c>
      <c r="J475" s="2" t="s">
        <v>26</v>
      </c>
      <c r="K475" s="2">
        <v>10000</v>
      </c>
      <c r="L475" s="2" t="s">
        <v>26</v>
      </c>
      <c r="M475" s="1">
        <v>2896</v>
      </c>
      <c r="N475" t="s">
        <v>33</v>
      </c>
      <c r="O475" s="5">
        <f>EDATE(O474,1)</f>
        <v>41030</v>
      </c>
      <c r="P475">
        <v>11</v>
      </c>
      <c r="Q475">
        <v>12</v>
      </c>
      <c r="R475" s="2">
        <f>PPMT((0.1/12),11,50,-10000,0,0)</f>
        <v>176.05983146488174</v>
      </c>
      <c r="S475">
        <v>50</v>
      </c>
      <c r="T475" s="2">
        <v>176.05983146488174</v>
      </c>
      <c r="U475" t="s">
        <v>29</v>
      </c>
      <c r="V475" t="s">
        <v>29</v>
      </c>
      <c r="W475">
        <v>0</v>
      </c>
      <c r="X475">
        <v>0</v>
      </c>
      <c r="Y475">
        <v>0</v>
      </c>
    </row>
    <row r="476" spans="1:25" x14ac:dyDescent="0.25">
      <c r="A476">
        <v>3</v>
      </c>
      <c r="B476" s="1">
        <v>1010</v>
      </c>
      <c r="C476" s="2" t="s">
        <v>36</v>
      </c>
      <c r="D476" s="2">
        <v>100000</v>
      </c>
      <c r="E476" s="2">
        <v>80800</v>
      </c>
      <c r="F476" s="1">
        <v>50</v>
      </c>
      <c r="G476" s="1">
        <v>12</v>
      </c>
      <c r="H476" s="2" t="s">
        <v>26</v>
      </c>
      <c r="J476" s="2" t="s">
        <v>26</v>
      </c>
      <c r="K476" s="2">
        <v>10000</v>
      </c>
      <c r="L476" s="2" t="s">
        <v>26</v>
      </c>
      <c r="M476" s="1">
        <v>2896</v>
      </c>
      <c r="N476" t="s">
        <v>33</v>
      </c>
      <c r="O476" s="5">
        <f>EDATE(O475,1)</f>
        <v>41061</v>
      </c>
      <c r="P476">
        <v>12</v>
      </c>
      <c r="Q476">
        <v>13</v>
      </c>
      <c r="R476" s="2">
        <f>PPMT((0.1/12),12,50,-10000,0,0)</f>
        <v>177.52699672708911</v>
      </c>
      <c r="S476">
        <v>50</v>
      </c>
      <c r="T476" s="2">
        <v>177.52699672708911</v>
      </c>
      <c r="U476" t="s">
        <v>29</v>
      </c>
      <c r="V476" t="s">
        <v>29</v>
      </c>
      <c r="W476">
        <v>0</v>
      </c>
      <c r="X476">
        <v>0</v>
      </c>
      <c r="Y476">
        <v>0</v>
      </c>
    </row>
    <row r="477" spans="1:25" x14ac:dyDescent="0.25">
      <c r="A477">
        <v>3</v>
      </c>
      <c r="B477" s="1">
        <v>1010</v>
      </c>
      <c r="C477" s="2" t="s">
        <v>36</v>
      </c>
      <c r="D477" s="2">
        <v>100000</v>
      </c>
      <c r="E477" s="2">
        <v>79200</v>
      </c>
      <c r="F477" s="1">
        <v>50</v>
      </c>
      <c r="G477" s="1">
        <v>13</v>
      </c>
      <c r="H477" s="2" t="s">
        <v>26</v>
      </c>
      <c r="J477" s="2" t="s">
        <v>26</v>
      </c>
      <c r="K477" s="2">
        <v>10000</v>
      </c>
      <c r="L477" s="2" t="s">
        <v>26</v>
      </c>
      <c r="M477" s="1">
        <v>2896</v>
      </c>
      <c r="N477" t="s">
        <v>33</v>
      </c>
      <c r="O477" s="5">
        <f>EDATE(O476,1)</f>
        <v>41091</v>
      </c>
      <c r="P477">
        <v>13</v>
      </c>
      <c r="Q477">
        <v>14</v>
      </c>
      <c r="R477" s="2">
        <f>PPMT((0.1/12),13,50,-10000,0,0)</f>
        <v>179.0063883664815</v>
      </c>
      <c r="S477">
        <v>50</v>
      </c>
      <c r="T477" s="2">
        <v>179.0063883664815</v>
      </c>
      <c r="U477" t="s">
        <v>29</v>
      </c>
      <c r="V477" t="s">
        <v>29</v>
      </c>
      <c r="W477">
        <v>0</v>
      </c>
      <c r="X477">
        <v>0</v>
      </c>
      <c r="Y477">
        <v>0</v>
      </c>
    </row>
    <row r="478" spans="1:25" x14ac:dyDescent="0.25">
      <c r="A478">
        <v>3</v>
      </c>
      <c r="B478" s="1">
        <v>1010</v>
      </c>
      <c r="C478" s="2" t="s">
        <v>36</v>
      </c>
      <c r="D478" s="2">
        <v>100000</v>
      </c>
      <c r="E478" s="2">
        <v>77600</v>
      </c>
      <c r="F478" s="1">
        <v>50</v>
      </c>
      <c r="G478" s="1">
        <v>14</v>
      </c>
      <c r="H478" s="2" t="s">
        <v>26</v>
      </c>
      <c r="J478" s="2" t="s">
        <v>26</v>
      </c>
      <c r="K478" s="2">
        <v>10000</v>
      </c>
      <c r="L478" s="2" t="s">
        <v>26</v>
      </c>
      <c r="M478" s="1">
        <v>2896</v>
      </c>
      <c r="N478" t="s">
        <v>33</v>
      </c>
      <c r="O478" s="5">
        <f>EDATE(O477,1)</f>
        <v>41122</v>
      </c>
      <c r="P478">
        <v>14</v>
      </c>
      <c r="Q478">
        <v>15</v>
      </c>
      <c r="R478" s="2">
        <f>PPMT((0.1/12),14,50,-10000,0,0)</f>
        <v>180.49810826953549</v>
      </c>
      <c r="S478">
        <v>50</v>
      </c>
      <c r="T478" s="2">
        <v>180.49810826953549</v>
      </c>
      <c r="U478" t="s">
        <v>29</v>
      </c>
      <c r="V478" t="s">
        <v>29</v>
      </c>
      <c r="W478">
        <v>0</v>
      </c>
      <c r="X478">
        <v>0</v>
      </c>
      <c r="Y478">
        <v>0</v>
      </c>
    </row>
    <row r="479" spans="1:25" x14ac:dyDescent="0.25">
      <c r="A479">
        <v>3</v>
      </c>
      <c r="B479" s="1">
        <v>1010</v>
      </c>
      <c r="C479" s="2" t="s">
        <v>36</v>
      </c>
      <c r="D479" s="2">
        <v>100000</v>
      </c>
      <c r="E479" s="2">
        <v>76000</v>
      </c>
      <c r="F479" s="1">
        <v>50</v>
      </c>
      <c r="G479" s="1">
        <v>15</v>
      </c>
      <c r="H479" s="2" t="s">
        <v>26</v>
      </c>
      <c r="J479" s="2" t="s">
        <v>26</v>
      </c>
      <c r="K479" s="2">
        <v>10000</v>
      </c>
      <c r="L479" s="2" t="s">
        <v>26</v>
      </c>
      <c r="M479" s="1">
        <v>2896</v>
      </c>
      <c r="N479" t="s">
        <v>33</v>
      </c>
      <c r="O479" s="5">
        <f>EDATE(O478,1)</f>
        <v>41153</v>
      </c>
      <c r="P479">
        <v>15</v>
      </c>
      <c r="Q479">
        <v>16</v>
      </c>
      <c r="R479" s="2">
        <f>PPMT((0.1/12),15,50,-10000,0,0)</f>
        <v>182.00225917178165</v>
      </c>
      <c r="S479">
        <v>50</v>
      </c>
      <c r="T479" s="2">
        <v>182.00225917178165</v>
      </c>
      <c r="U479" t="s">
        <v>29</v>
      </c>
      <c r="V479" t="s">
        <v>29</v>
      </c>
      <c r="W479">
        <v>0</v>
      </c>
      <c r="X479">
        <v>0</v>
      </c>
      <c r="Y479">
        <v>0</v>
      </c>
    </row>
    <row r="480" spans="1:25" x14ac:dyDescent="0.25">
      <c r="A480">
        <v>3</v>
      </c>
      <c r="B480" s="1">
        <v>1010</v>
      </c>
      <c r="C480" s="2" t="s">
        <v>36</v>
      </c>
      <c r="D480" s="2">
        <v>100000</v>
      </c>
      <c r="E480" s="2">
        <v>74400</v>
      </c>
      <c r="F480" s="1">
        <v>50</v>
      </c>
      <c r="G480" s="1">
        <v>16</v>
      </c>
      <c r="H480" s="2" t="s">
        <v>26</v>
      </c>
      <c r="J480" s="2" t="s">
        <v>26</v>
      </c>
      <c r="K480" s="2">
        <v>10000</v>
      </c>
      <c r="L480" s="2" t="s">
        <v>26</v>
      </c>
      <c r="M480" s="1">
        <v>2896</v>
      </c>
      <c r="N480" t="s">
        <v>33</v>
      </c>
      <c r="O480" s="5">
        <f>EDATE(O479,1)</f>
        <v>41183</v>
      </c>
      <c r="P480">
        <v>16</v>
      </c>
      <c r="Q480">
        <v>17</v>
      </c>
      <c r="R480" s="2">
        <f>PPMT((0.1/12),16,50,-10000,0,0)</f>
        <v>183.5189446648798</v>
      </c>
      <c r="S480">
        <v>50</v>
      </c>
      <c r="T480" s="2">
        <v>183.5189446648798</v>
      </c>
      <c r="U480" t="s">
        <v>29</v>
      </c>
      <c r="V480" t="s">
        <v>29</v>
      </c>
      <c r="W480">
        <v>0</v>
      </c>
      <c r="X480">
        <v>0</v>
      </c>
      <c r="Y480">
        <v>0</v>
      </c>
    </row>
    <row r="481" spans="1:25" x14ac:dyDescent="0.25">
      <c r="A481">
        <v>3</v>
      </c>
      <c r="B481" s="1">
        <v>1010</v>
      </c>
      <c r="C481" s="2" t="s">
        <v>36</v>
      </c>
      <c r="D481" s="2">
        <v>100000</v>
      </c>
      <c r="E481" s="2">
        <v>72800</v>
      </c>
      <c r="F481" s="1">
        <v>50</v>
      </c>
      <c r="G481" s="1">
        <v>17</v>
      </c>
      <c r="H481" s="2" t="s">
        <v>26</v>
      </c>
      <c r="J481" s="2" t="s">
        <v>26</v>
      </c>
      <c r="K481" s="2">
        <v>10000</v>
      </c>
      <c r="L481" s="2" t="s">
        <v>26</v>
      </c>
      <c r="M481" s="1">
        <v>2896</v>
      </c>
      <c r="N481" t="s">
        <v>33</v>
      </c>
      <c r="O481" s="5">
        <f>EDATE(O480,1)</f>
        <v>41214</v>
      </c>
      <c r="P481">
        <v>17</v>
      </c>
      <c r="Q481">
        <v>18</v>
      </c>
      <c r="R481" s="2">
        <f>PPMT((0.1/12),17,50,-10000,0,0)</f>
        <v>185.04826920375382</v>
      </c>
      <c r="S481">
        <v>50</v>
      </c>
      <c r="T481" s="2">
        <v>185.04826920375382</v>
      </c>
      <c r="U481" t="s">
        <v>29</v>
      </c>
      <c r="V481" t="s">
        <v>29</v>
      </c>
      <c r="W481">
        <v>0</v>
      </c>
      <c r="X481">
        <v>0</v>
      </c>
      <c r="Y481">
        <v>0</v>
      </c>
    </row>
    <row r="482" spans="1:25" x14ac:dyDescent="0.25">
      <c r="A482">
        <v>3</v>
      </c>
      <c r="B482" s="1">
        <v>1010</v>
      </c>
      <c r="C482" s="2" t="s">
        <v>36</v>
      </c>
      <c r="D482" s="2">
        <v>100000</v>
      </c>
      <c r="E482" s="2">
        <v>71200</v>
      </c>
      <c r="F482" s="1">
        <v>50</v>
      </c>
      <c r="G482" s="1">
        <v>18</v>
      </c>
      <c r="H482" s="2" t="s">
        <v>26</v>
      </c>
      <c r="J482" s="2" t="s">
        <v>26</v>
      </c>
      <c r="K482" s="2">
        <v>10000</v>
      </c>
      <c r="L482" s="2" t="s">
        <v>26</v>
      </c>
      <c r="M482" s="1">
        <v>2896</v>
      </c>
      <c r="N482" t="s">
        <v>33</v>
      </c>
      <c r="O482" s="5">
        <f>EDATE(O481,1)</f>
        <v>41244</v>
      </c>
      <c r="P482">
        <v>18</v>
      </c>
      <c r="Q482">
        <v>19</v>
      </c>
      <c r="R482" s="2">
        <f>PPMT((0.1/12),18,50,-10000,0,0)</f>
        <v>186.59033811378509</v>
      </c>
      <c r="S482">
        <v>50</v>
      </c>
      <c r="T482" s="2">
        <v>186.59033811378509</v>
      </c>
      <c r="U482" t="s">
        <v>29</v>
      </c>
      <c r="V482" t="s">
        <v>29</v>
      </c>
      <c r="W482">
        <v>0</v>
      </c>
      <c r="X482">
        <v>0</v>
      </c>
      <c r="Y482">
        <v>0</v>
      </c>
    </row>
    <row r="483" spans="1:25" x14ac:dyDescent="0.25">
      <c r="A483">
        <v>3</v>
      </c>
      <c r="B483" s="1">
        <v>1010</v>
      </c>
      <c r="C483" s="2" t="s">
        <v>36</v>
      </c>
      <c r="D483" s="2">
        <v>100000</v>
      </c>
      <c r="E483" s="2">
        <v>69600</v>
      </c>
      <c r="F483" s="1">
        <v>50</v>
      </c>
      <c r="G483" s="1">
        <v>19</v>
      </c>
      <c r="H483" s="2" t="s">
        <v>26</v>
      </c>
      <c r="J483" s="2" t="s">
        <v>26</v>
      </c>
      <c r="K483" s="2">
        <v>10000</v>
      </c>
      <c r="L483" s="2" t="s">
        <v>26</v>
      </c>
      <c r="M483" s="1">
        <v>2896</v>
      </c>
      <c r="N483" t="s">
        <v>33</v>
      </c>
      <c r="O483" s="5">
        <f>EDATE(O482,1)</f>
        <v>41275</v>
      </c>
      <c r="P483">
        <v>19</v>
      </c>
      <c r="Q483">
        <v>20</v>
      </c>
      <c r="R483" s="2">
        <f>PPMT((0.1/12),19,50,-10000,0,0)</f>
        <v>188.14525759806662</v>
      </c>
      <c r="S483">
        <v>50</v>
      </c>
      <c r="T483" s="2">
        <v>188.14525759806662</v>
      </c>
      <c r="U483" t="s">
        <v>29</v>
      </c>
      <c r="V483" t="s">
        <v>29</v>
      </c>
      <c r="W483">
        <v>0</v>
      </c>
      <c r="X483">
        <v>0</v>
      </c>
      <c r="Y483">
        <v>0</v>
      </c>
    </row>
    <row r="484" spans="1:25" x14ac:dyDescent="0.25">
      <c r="A484">
        <v>3</v>
      </c>
      <c r="B484" s="1">
        <v>1010</v>
      </c>
      <c r="C484" s="2" t="s">
        <v>36</v>
      </c>
      <c r="D484" s="2">
        <v>100000</v>
      </c>
      <c r="E484" s="2">
        <v>68000</v>
      </c>
      <c r="F484" s="1">
        <v>50</v>
      </c>
      <c r="G484" s="1">
        <v>20</v>
      </c>
      <c r="H484" s="2" t="s">
        <v>26</v>
      </c>
      <c r="J484" s="2" t="s">
        <v>26</v>
      </c>
      <c r="K484" s="2">
        <v>10000</v>
      </c>
      <c r="L484" s="2" t="s">
        <v>26</v>
      </c>
      <c r="M484" s="1">
        <v>2896</v>
      </c>
      <c r="N484" t="s">
        <v>33</v>
      </c>
      <c r="O484" s="5">
        <f>EDATE(O483,1)</f>
        <v>41306</v>
      </c>
      <c r="P484">
        <v>20</v>
      </c>
      <c r="Q484">
        <v>21</v>
      </c>
      <c r="R484" s="2">
        <f>PPMT((0.1/12),20,50,-10000,0,0)</f>
        <v>189.71313474471719</v>
      </c>
      <c r="S484">
        <v>50</v>
      </c>
      <c r="T484" s="2">
        <v>189.71313474471719</v>
      </c>
      <c r="U484" t="s">
        <v>29</v>
      </c>
      <c r="V484" t="s">
        <v>29</v>
      </c>
      <c r="W484">
        <v>0</v>
      </c>
      <c r="X484">
        <v>0</v>
      </c>
      <c r="Y484">
        <v>0</v>
      </c>
    </row>
    <row r="485" spans="1:25" x14ac:dyDescent="0.25">
      <c r="A485">
        <v>3</v>
      </c>
      <c r="B485" s="1">
        <v>1010</v>
      </c>
      <c r="C485" s="2" t="s">
        <v>36</v>
      </c>
      <c r="D485" s="2">
        <v>100000</v>
      </c>
      <c r="E485" s="2">
        <v>66400</v>
      </c>
      <c r="F485" s="1">
        <v>50</v>
      </c>
      <c r="G485" s="1">
        <v>21</v>
      </c>
      <c r="H485" s="2" t="s">
        <v>26</v>
      </c>
      <c r="J485" s="2" t="s">
        <v>26</v>
      </c>
      <c r="K485" s="2">
        <v>10000</v>
      </c>
      <c r="L485" s="2" t="s">
        <v>26</v>
      </c>
      <c r="M485" s="1">
        <v>2896</v>
      </c>
      <c r="N485" t="s">
        <v>33</v>
      </c>
      <c r="O485" s="5">
        <f>EDATE(O484,1)</f>
        <v>41334</v>
      </c>
      <c r="P485">
        <v>21</v>
      </c>
      <c r="Q485">
        <v>22</v>
      </c>
      <c r="R485" s="2">
        <f>PPMT((0.1/12),21,50,-10000,0,0)</f>
        <v>191.2940775342565</v>
      </c>
      <c r="S485">
        <v>50</v>
      </c>
      <c r="T485" s="2">
        <v>191.2940775342565</v>
      </c>
      <c r="U485" t="s">
        <v>29</v>
      </c>
      <c r="V485" t="s">
        <v>29</v>
      </c>
      <c r="W485">
        <v>0</v>
      </c>
      <c r="X485">
        <v>0</v>
      </c>
      <c r="Y485">
        <v>0</v>
      </c>
    </row>
    <row r="486" spans="1:25" x14ac:dyDescent="0.25">
      <c r="A486">
        <v>3</v>
      </c>
      <c r="B486" s="1">
        <v>1010</v>
      </c>
      <c r="C486" s="2" t="s">
        <v>36</v>
      </c>
      <c r="D486" s="2">
        <v>100000</v>
      </c>
      <c r="E486" s="2">
        <v>64800</v>
      </c>
      <c r="F486" s="1">
        <v>50</v>
      </c>
      <c r="G486" s="1">
        <v>22</v>
      </c>
      <c r="H486" s="2" t="s">
        <v>26</v>
      </c>
      <c r="J486" s="2" t="s">
        <v>26</v>
      </c>
      <c r="K486" s="2">
        <v>10000</v>
      </c>
      <c r="L486" s="2" t="s">
        <v>26</v>
      </c>
      <c r="M486" s="1">
        <v>2896</v>
      </c>
      <c r="N486" t="s">
        <v>33</v>
      </c>
      <c r="O486" s="5">
        <f>EDATE(O485,1)</f>
        <v>41365</v>
      </c>
      <c r="P486">
        <v>22</v>
      </c>
      <c r="Q486">
        <v>23</v>
      </c>
      <c r="R486" s="2">
        <f>PPMT((0.1/12),22,50,-10000,0,0)</f>
        <v>192.88819484704197</v>
      </c>
      <c r="S486">
        <v>50</v>
      </c>
      <c r="T486" s="2">
        <v>192.88819484704197</v>
      </c>
      <c r="U486" t="s">
        <v>29</v>
      </c>
      <c r="V486" t="s">
        <v>29</v>
      </c>
      <c r="W486">
        <v>0</v>
      </c>
      <c r="X486">
        <v>0</v>
      </c>
      <c r="Y486">
        <v>0</v>
      </c>
    </row>
    <row r="487" spans="1:25" x14ac:dyDescent="0.25">
      <c r="A487">
        <v>3</v>
      </c>
      <c r="B487" s="1">
        <v>1010</v>
      </c>
      <c r="C487" s="2" t="s">
        <v>36</v>
      </c>
      <c r="D487" s="2">
        <v>100000</v>
      </c>
      <c r="E487" s="2">
        <v>63200</v>
      </c>
      <c r="F487" s="1">
        <v>50</v>
      </c>
      <c r="G487" s="1">
        <v>23</v>
      </c>
      <c r="H487" s="2" t="s">
        <v>26</v>
      </c>
      <c r="J487" s="2" t="s">
        <v>26</v>
      </c>
      <c r="K487" s="2">
        <v>10000</v>
      </c>
      <c r="L487" s="2" t="s">
        <v>26</v>
      </c>
      <c r="M487" s="1">
        <v>2896</v>
      </c>
      <c r="N487" t="s">
        <v>33</v>
      </c>
      <c r="O487" s="5">
        <f>EDATE(O486,1)</f>
        <v>41395</v>
      </c>
      <c r="P487">
        <v>23</v>
      </c>
      <c r="Q487">
        <v>24</v>
      </c>
      <c r="R487" s="2">
        <f>PPMT((0.1/12),23,50,-10000,0,0)</f>
        <v>194.49559647076734</v>
      </c>
      <c r="S487">
        <v>50</v>
      </c>
      <c r="T487" s="2">
        <v>194.49559647076734</v>
      </c>
      <c r="U487" t="s">
        <v>29</v>
      </c>
      <c r="V487" t="s">
        <v>29</v>
      </c>
      <c r="W487">
        <v>0</v>
      </c>
      <c r="X487">
        <v>0</v>
      </c>
      <c r="Y487">
        <v>0</v>
      </c>
    </row>
    <row r="488" spans="1:25" x14ac:dyDescent="0.25">
      <c r="A488">
        <v>3</v>
      </c>
      <c r="B488" s="1">
        <v>1010</v>
      </c>
      <c r="C488" s="2" t="s">
        <v>36</v>
      </c>
      <c r="D488" s="2">
        <v>100000</v>
      </c>
      <c r="E488" s="2">
        <v>61600</v>
      </c>
      <c r="F488" s="1">
        <v>50</v>
      </c>
      <c r="G488" s="1">
        <v>24</v>
      </c>
      <c r="H488" s="2" t="s">
        <v>26</v>
      </c>
      <c r="J488" s="2" t="s">
        <v>26</v>
      </c>
      <c r="K488" s="2">
        <v>10000</v>
      </c>
      <c r="L488" s="2" t="s">
        <v>26</v>
      </c>
      <c r="M488" s="1">
        <v>2896</v>
      </c>
      <c r="N488" t="s">
        <v>33</v>
      </c>
      <c r="O488" s="5">
        <f>EDATE(O487,1)</f>
        <v>41426</v>
      </c>
      <c r="P488">
        <v>24</v>
      </c>
      <c r="Q488">
        <v>25</v>
      </c>
      <c r="R488" s="2">
        <f>PPMT((0.1/12),24,50,-10000,0,0)</f>
        <v>196.11639310802371</v>
      </c>
      <c r="S488">
        <v>50</v>
      </c>
      <c r="T488" s="2">
        <v>196.11639310802371</v>
      </c>
      <c r="U488" t="s">
        <v>29</v>
      </c>
      <c r="V488" t="s">
        <v>29</v>
      </c>
      <c r="W488">
        <v>0</v>
      </c>
      <c r="X488">
        <v>0</v>
      </c>
      <c r="Y488">
        <v>0</v>
      </c>
    </row>
    <row r="489" spans="1:25" x14ac:dyDescent="0.25">
      <c r="A489">
        <v>3</v>
      </c>
      <c r="B489" s="1">
        <v>1010</v>
      </c>
      <c r="C489" s="2" t="s">
        <v>36</v>
      </c>
      <c r="D489" s="2">
        <v>100000</v>
      </c>
      <c r="E489" s="2">
        <v>60000</v>
      </c>
      <c r="F489" s="1">
        <v>50</v>
      </c>
      <c r="G489" s="1">
        <v>25</v>
      </c>
      <c r="H489" s="2" t="s">
        <v>26</v>
      </c>
      <c r="J489" s="2" t="s">
        <v>26</v>
      </c>
      <c r="K489" s="2">
        <v>10000</v>
      </c>
      <c r="L489" s="2" t="s">
        <v>26</v>
      </c>
      <c r="M489" s="1">
        <v>2896</v>
      </c>
      <c r="N489" t="s">
        <v>33</v>
      </c>
      <c r="O489" s="5">
        <f>EDATE(O488,1)</f>
        <v>41456</v>
      </c>
      <c r="P489">
        <v>25</v>
      </c>
      <c r="Q489">
        <v>26</v>
      </c>
      <c r="R489" s="2">
        <f>PPMT((0.1/12),25,50,-10000,0,0)</f>
        <v>197.75069638392389</v>
      </c>
      <c r="S489">
        <v>50</v>
      </c>
      <c r="T489" s="2">
        <v>197.75069638392389</v>
      </c>
      <c r="U489" t="s">
        <v>29</v>
      </c>
      <c r="V489" t="s">
        <v>29</v>
      </c>
      <c r="W489">
        <v>0</v>
      </c>
      <c r="X489">
        <v>0</v>
      </c>
      <c r="Y489">
        <v>0</v>
      </c>
    </row>
    <row r="490" spans="1:25" x14ac:dyDescent="0.25">
      <c r="A490">
        <v>3</v>
      </c>
      <c r="B490" s="1">
        <v>1010</v>
      </c>
      <c r="C490" s="2" t="s">
        <v>36</v>
      </c>
      <c r="D490" s="2">
        <v>100000</v>
      </c>
      <c r="E490" s="2">
        <v>58400</v>
      </c>
      <c r="F490" s="1">
        <v>50</v>
      </c>
      <c r="G490" s="1">
        <v>26</v>
      </c>
      <c r="H490" s="2" t="s">
        <v>26</v>
      </c>
      <c r="J490" s="2" t="s">
        <v>26</v>
      </c>
      <c r="K490" s="2">
        <v>10000</v>
      </c>
      <c r="L490" s="2" t="s">
        <v>26</v>
      </c>
      <c r="M490" s="1">
        <v>2896</v>
      </c>
      <c r="N490" t="s">
        <v>33</v>
      </c>
      <c r="O490" s="5">
        <f>EDATE(O489,1)</f>
        <v>41487</v>
      </c>
      <c r="P490">
        <v>26</v>
      </c>
      <c r="Q490">
        <v>27</v>
      </c>
      <c r="R490" s="2">
        <f>PPMT((0.1/12),26,50,-10000,0,0)</f>
        <v>199.39861885378997</v>
      </c>
      <c r="S490">
        <v>50</v>
      </c>
      <c r="T490" s="2">
        <v>199.39861885378997</v>
      </c>
      <c r="U490" t="s">
        <v>29</v>
      </c>
      <c r="V490" t="s">
        <v>29</v>
      </c>
      <c r="W490">
        <v>0</v>
      </c>
      <c r="X490">
        <v>0</v>
      </c>
      <c r="Y490">
        <v>0</v>
      </c>
    </row>
    <row r="491" spans="1:25" x14ac:dyDescent="0.25">
      <c r="A491">
        <v>3</v>
      </c>
      <c r="B491" s="1">
        <v>1010</v>
      </c>
      <c r="C491" s="2" t="s">
        <v>36</v>
      </c>
      <c r="D491" s="2">
        <v>100000</v>
      </c>
      <c r="E491" s="2">
        <v>56800</v>
      </c>
      <c r="F491" s="1">
        <v>50</v>
      </c>
      <c r="G491" s="1">
        <v>27</v>
      </c>
      <c r="H491" s="2" t="s">
        <v>26</v>
      </c>
      <c r="J491" s="2" t="s">
        <v>26</v>
      </c>
      <c r="K491" s="2">
        <v>10000</v>
      </c>
      <c r="L491" s="2" t="s">
        <v>26</v>
      </c>
      <c r="M491" s="1">
        <v>2896</v>
      </c>
      <c r="N491" t="s">
        <v>33</v>
      </c>
      <c r="O491" s="5">
        <f>EDATE(O490,1)</f>
        <v>41518</v>
      </c>
      <c r="P491">
        <v>27</v>
      </c>
      <c r="Q491">
        <v>28</v>
      </c>
      <c r="R491" s="2">
        <f>PPMT((0.1/12),27,50,-10000,0,0)</f>
        <v>201.06027401090486</v>
      </c>
      <c r="S491">
        <v>50</v>
      </c>
      <c r="T491" s="2">
        <v>201.06027401090486</v>
      </c>
      <c r="U491" t="s">
        <v>29</v>
      </c>
      <c r="V491" t="s">
        <v>29</v>
      </c>
      <c r="W491">
        <v>0</v>
      </c>
      <c r="X491">
        <v>0</v>
      </c>
      <c r="Y491">
        <v>0</v>
      </c>
    </row>
    <row r="492" spans="1:25" x14ac:dyDescent="0.25">
      <c r="A492">
        <v>3</v>
      </c>
      <c r="B492" s="1">
        <v>1010</v>
      </c>
      <c r="C492" s="2" t="s">
        <v>36</v>
      </c>
      <c r="D492" s="2">
        <v>100000</v>
      </c>
      <c r="E492" s="2">
        <v>55200</v>
      </c>
      <c r="F492" s="1">
        <v>50</v>
      </c>
      <c r="G492" s="1">
        <v>28</v>
      </c>
      <c r="H492" s="2" t="s">
        <v>26</v>
      </c>
      <c r="J492" s="2" t="s">
        <v>26</v>
      </c>
      <c r="K492" s="2">
        <v>10000</v>
      </c>
      <c r="L492" s="2" t="s">
        <v>26</v>
      </c>
      <c r="M492" s="1">
        <v>2896</v>
      </c>
      <c r="N492" t="s">
        <v>33</v>
      </c>
      <c r="O492" s="5">
        <f>EDATE(O491,1)</f>
        <v>41548</v>
      </c>
      <c r="P492">
        <v>28</v>
      </c>
      <c r="Q492">
        <v>29</v>
      </c>
      <c r="R492" s="2">
        <f>PPMT((0.1/12),28,50,-10000,0,0)</f>
        <v>202.73577629432904</v>
      </c>
      <c r="S492">
        <v>50</v>
      </c>
      <c r="T492" s="2">
        <v>202.73577629432904</v>
      </c>
      <c r="U492" t="s">
        <v>29</v>
      </c>
      <c r="V492" t="s">
        <v>29</v>
      </c>
      <c r="W492">
        <v>0</v>
      </c>
      <c r="X492">
        <v>0</v>
      </c>
      <c r="Y492">
        <v>0</v>
      </c>
    </row>
    <row r="493" spans="1:25" x14ac:dyDescent="0.25">
      <c r="A493">
        <v>3</v>
      </c>
      <c r="B493" s="1">
        <v>1010</v>
      </c>
      <c r="C493" s="2" t="s">
        <v>36</v>
      </c>
      <c r="D493" s="2">
        <v>100000</v>
      </c>
      <c r="E493" s="2">
        <v>53600</v>
      </c>
      <c r="F493" s="1">
        <v>50</v>
      </c>
      <c r="G493" s="1">
        <v>29</v>
      </c>
      <c r="H493" s="2" t="s">
        <v>26</v>
      </c>
      <c r="J493" s="2" t="s">
        <v>26</v>
      </c>
      <c r="K493" s="2">
        <v>10000</v>
      </c>
      <c r="L493" s="2" t="s">
        <v>26</v>
      </c>
      <c r="M493" s="1">
        <v>2896</v>
      </c>
      <c r="N493" t="s">
        <v>33</v>
      </c>
      <c r="O493" s="5">
        <f>EDATE(O492,1)</f>
        <v>41579</v>
      </c>
      <c r="P493">
        <v>29</v>
      </c>
      <c r="Q493">
        <v>30</v>
      </c>
      <c r="R493" s="2">
        <f>PPMT((0.1/12),29,50,-10000,0,0)</f>
        <v>204.42524109678183</v>
      </c>
      <c r="S493">
        <v>50</v>
      </c>
      <c r="T493" s="2">
        <v>204.42524109678183</v>
      </c>
      <c r="U493" t="s">
        <v>29</v>
      </c>
      <c r="V493" t="s">
        <v>29</v>
      </c>
      <c r="W493">
        <v>0</v>
      </c>
      <c r="X493">
        <v>0</v>
      </c>
      <c r="Y493">
        <v>0</v>
      </c>
    </row>
    <row r="494" spans="1:25" x14ac:dyDescent="0.25">
      <c r="A494">
        <v>3</v>
      </c>
      <c r="B494" s="1">
        <v>1010</v>
      </c>
      <c r="C494" s="2" t="s">
        <v>36</v>
      </c>
      <c r="D494" s="2">
        <v>100000</v>
      </c>
      <c r="E494" s="2">
        <v>52000</v>
      </c>
      <c r="F494" s="1">
        <v>50</v>
      </c>
      <c r="G494" s="1">
        <v>30</v>
      </c>
      <c r="H494" s="2" t="s">
        <v>26</v>
      </c>
      <c r="J494" s="2" t="s">
        <v>26</v>
      </c>
      <c r="K494" s="2">
        <v>10000</v>
      </c>
      <c r="L494" s="2" t="s">
        <v>26</v>
      </c>
      <c r="M494" s="1">
        <v>2896</v>
      </c>
      <c r="N494" t="s">
        <v>33</v>
      </c>
      <c r="O494" s="5">
        <f>EDATE(O493,1)</f>
        <v>41609</v>
      </c>
      <c r="P494">
        <v>30</v>
      </c>
      <c r="Q494">
        <v>31</v>
      </c>
      <c r="R494" s="2">
        <f>PPMT((0.1/12),30,50,-10000,0,0)</f>
        <v>206.12878477258835</v>
      </c>
      <c r="S494">
        <v>50</v>
      </c>
      <c r="T494" s="2">
        <v>206.12878477258835</v>
      </c>
      <c r="U494" t="s">
        <v>29</v>
      </c>
      <c r="V494" t="s">
        <v>29</v>
      </c>
      <c r="W494">
        <v>0</v>
      </c>
      <c r="X494">
        <v>0</v>
      </c>
      <c r="Y494">
        <v>0</v>
      </c>
    </row>
    <row r="495" spans="1:25" x14ac:dyDescent="0.25">
      <c r="A495">
        <v>3</v>
      </c>
      <c r="B495" s="1">
        <v>1010</v>
      </c>
      <c r="C495" s="2" t="s">
        <v>36</v>
      </c>
      <c r="D495" s="2">
        <v>100000</v>
      </c>
      <c r="E495" s="2">
        <v>50400</v>
      </c>
      <c r="F495" s="1">
        <v>50</v>
      </c>
      <c r="G495" s="1">
        <v>31</v>
      </c>
      <c r="H495" s="2" t="s">
        <v>26</v>
      </c>
      <c r="J495" s="2" t="s">
        <v>26</v>
      </c>
      <c r="K495" s="2">
        <v>10000</v>
      </c>
      <c r="L495" s="2" t="s">
        <v>26</v>
      </c>
      <c r="M495" s="1">
        <v>2896</v>
      </c>
      <c r="N495" t="s">
        <v>33</v>
      </c>
      <c r="O495" s="5">
        <f>EDATE(O494,1)</f>
        <v>41640</v>
      </c>
      <c r="P495">
        <v>31</v>
      </c>
      <c r="Q495">
        <v>32</v>
      </c>
      <c r="R495" s="2">
        <f>PPMT((0.1/12),31,50,-10000,0,0)</f>
        <v>207.84652464569322</v>
      </c>
      <c r="S495">
        <v>50</v>
      </c>
      <c r="T495" s="2">
        <v>207.84652464569322</v>
      </c>
      <c r="U495" t="s">
        <v>29</v>
      </c>
      <c r="V495" t="s">
        <v>29</v>
      </c>
      <c r="W495">
        <v>0</v>
      </c>
      <c r="X495">
        <v>0</v>
      </c>
      <c r="Y495">
        <v>0</v>
      </c>
    </row>
    <row r="496" spans="1:25" x14ac:dyDescent="0.25">
      <c r="A496">
        <v>3</v>
      </c>
      <c r="B496" s="1">
        <v>1010</v>
      </c>
      <c r="C496" s="2" t="s">
        <v>36</v>
      </c>
      <c r="D496" s="2">
        <v>100000</v>
      </c>
      <c r="E496" s="2">
        <v>48800</v>
      </c>
      <c r="F496" s="1">
        <v>50</v>
      </c>
      <c r="G496" s="1">
        <v>32</v>
      </c>
      <c r="H496" s="2" t="s">
        <v>26</v>
      </c>
      <c r="J496" s="2" t="s">
        <v>26</v>
      </c>
      <c r="K496" s="2">
        <v>10000</v>
      </c>
      <c r="L496" s="2" t="s">
        <v>26</v>
      </c>
      <c r="M496" s="1">
        <v>2896</v>
      </c>
      <c r="N496" t="s">
        <v>33</v>
      </c>
      <c r="O496" s="5">
        <f>EDATE(O495,1)</f>
        <v>41671</v>
      </c>
      <c r="P496">
        <v>32</v>
      </c>
      <c r="Q496">
        <v>33</v>
      </c>
      <c r="R496" s="2">
        <f>PPMT((0.1/12),32,50,-10000,0,0)</f>
        <v>209.57857901774065</v>
      </c>
      <c r="S496">
        <v>50</v>
      </c>
      <c r="T496" s="2">
        <v>209.57857901774065</v>
      </c>
      <c r="U496" t="s">
        <v>29</v>
      </c>
      <c r="V496" t="s">
        <v>29</v>
      </c>
      <c r="W496">
        <v>0</v>
      </c>
      <c r="X496">
        <v>0</v>
      </c>
      <c r="Y496">
        <v>0</v>
      </c>
    </row>
    <row r="497" spans="1:25" x14ac:dyDescent="0.25">
      <c r="A497">
        <v>3</v>
      </c>
      <c r="B497" s="1">
        <v>1010</v>
      </c>
      <c r="C497" s="2" t="s">
        <v>36</v>
      </c>
      <c r="D497" s="2">
        <v>100000</v>
      </c>
      <c r="E497" s="2">
        <v>47200</v>
      </c>
      <c r="F497" s="1">
        <v>50</v>
      </c>
      <c r="G497" s="1">
        <v>33</v>
      </c>
      <c r="H497" s="2" t="s">
        <v>26</v>
      </c>
      <c r="J497" s="2" t="s">
        <v>26</v>
      </c>
      <c r="K497" s="2">
        <v>10000</v>
      </c>
      <c r="L497" s="2" t="s">
        <v>26</v>
      </c>
      <c r="M497" s="1">
        <v>2896</v>
      </c>
      <c r="N497" t="s">
        <v>33</v>
      </c>
      <c r="O497" s="5">
        <f>EDATE(O496,1)</f>
        <v>41699</v>
      </c>
      <c r="P497">
        <v>33</v>
      </c>
      <c r="Q497">
        <v>34</v>
      </c>
      <c r="R497" s="2">
        <f>PPMT((0.1/12),33,50,-10000,0,0)</f>
        <v>211.32506717622184</v>
      </c>
      <c r="S497">
        <v>50</v>
      </c>
      <c r="T497" s="2">
        <v>211.32506717622184</v>
      </c>
      <c r="U497" t="s">
        <v>29</v>
      </c>
      <c r="V497" t="s">
        <v>29</v>
      </c>
      <c r="W497">
        <v>0</v>
      </c>
      <c r="X497">
        <v>0</v>
      </c>
      <c r="Y497">
        <v>0</v>
      </c>
    </row>
    <row r="498" spans="1:25" x14ac:dyDescent="0.25">
      <c r="A498">
        <v>3</v>
      </c>
      <c r="B498" s="1">
        <v>1010</v>
      </c>
      <c r="C498" s="2" t="s">
        <v>36</v>
      </c>
      <c r="D498" s="2">
        <v>100000</v>
      </c>
      <c r="E498" s="2">
        <v>45600</v>
      </c>
      <c r="F498" s="1">
        <v>50</v>
      </c>
      <c r="G498" s="1">
        <v>34</v>
      </c>
      <c r="H498" s="2" t="s">
        <v>26</v>
      </c>
      <c r="J498" s="2" t="s">
        <v>26</v>
      </c>
      <c r="K498" s="2">
        <v>10000</v>
      </c>
      <c r="L498" s="2" t="s">
        <v>26</v>
      </c>
      <c r="M498" s="1">
        <v>2896</v>
      </c>
      <c r="N498" t="s">
        <v>33</v>
      </c>
      <c r="O498" s="5">
        <f>EDATE(O497,1)</f>
        <v>41730</v>
      </c>
      <c r="P498">
        <v>34</v>
      </c>
      <c r="Q498">
        <v>35</v>
      </c>
      <c r="R498" s="2">
        <f>PPMT((0.1/12),34,50,-10000,0,0)</f>
        <v>213.08610940269037</v>
      </c>
      <c r="S498">
        <v>50</v>
      </c>
      <c r="T498" s="2">
        <v>213.08610940269037</v>
      </c>
      <c r="U498" t="s">
        <v>29</v>
      </c>
      <c r="V498" t="s">
        <v>29</v>
      </c>
      <c r="W498">
        <v>0</v>
      </c>
      <c r="X498">
        <v>0</v>
      </c>
      <c r="Y498">
        <v>0</v>
      </c>
    </row>
    <row r="499" spans="1:25" x14ac:dyDescent="0.25">
      <c r="A499">
        <v>3</v>
      </c>
      <c r="B499" s="1">
        <v>1010</v>
      </c>
      <c r="C499" s="2" t="s">
        <v>36</v>
      </c>
      <c r="D499" s="2">
        <v>100000</v>
      </c>
      <c r="E499" s="2">
        <v>44000</v>
      </c>
      <c r="F499" s="1">
        <v>50</v>
      </c>
      <c r="G499" s="1">
        <v>35</v>
      </c>
      <c r="H499" s="2" t="s">
        <v>26</v>
      </c>
      <c r="J499" s="2" t="s">
        <v>26</v>
      </c>
      <c r="K499" s="2">
        <v>10000</v>
      </c>
      <c r="L499" s="2" t="s">
        <v>26</v>
      </c>
      <c r="M499" s="1">
        <v>2896</v>
      </c>
      <c r="N499" t="s">
        <v>33</v>
      </c>
      <c r="O499" s="5">
        <f>EDATE(O498,1)</f>
        <v>41760</v>
      </c>
      <c r="P499">
        <v>35</v>
      </c>
      <c r="Q499">
        <v>36</v>
      </c>
      <c r="R499" s="2">
        <f>PPMT((0.1/12),35,50,-10000,0,0)</f>
        <v>214.86182698104611</v>
      </c>
      <c r="S499">
        <v>50</v>
      </c>
      <c r="T499" s="2">
        <v>214.86182698104611</v>
      </c>
      <c r="U499" t="s">
        <v>29</v>
      </c>
      <c r="V499" t="s">
        <v>29</v>
      </c>
      <c r="W499">
        <v>0</v>
      </c>
      <c r="X499">
        <v>0</v>
      </c>
      <c r="Y499">
        <v>0</v>
      </c>
    </row>
    <row r="500" spans="1:25" x14ac:dyDescent="0.25">
      <c r="A500">
        <v>3</v>
      </c>
      <c r="B500" s="1">
        <v>1010</v>
      </c>
      <c r="C500" s="2" t="s">
        <v>36</v>
      </c>
      <c r="D500" s="2">
        <v>100000</v>
      </c>
      <c r="E500" s="2">
        <v>42400</v>
      </c>
      <c r="F500" s="1">
        <v>50</v>
      </c>
      <c r="G500" s="1">
        <v>36</v>
      </c>
      <c r="H500" s="2" t="s">
        <v>26</v>
      </c>
      <c r="J500" s="2" t="s">
        <v>26</v>
      </c>
      <c r="K500" s="2">
        <v>10000</v>
      </c>
      <c r="L500" s="2" t="s">
        <v>26</v>
      </c>
      <c r="M500" s="1">
        <v>2896</v>
      </c>
      <c r="N500" t="s">
        <v>33</v>
      </c>
      <c r="O500" s="5">
        <f>EDATE(O499,1)</f>
        <v>41791</v>
      </c>
      <c r="P500">
        <v>36</v>
      </c>
      <c r="Q500">
        <v>37</v>
      </c>
      <c r="R500" s="2">
        <f>PPMT((0.1/12),36,50,-10000,0,0)</f>
        <v>216.65234220588815</v>
      </c>
      <c r="S500">
        <v>50</v>
      </c>
      <c r="T500" s="2">
        <v>216.65234220588815</v>
      </c>
      <c r="U500" t="s">
        <v>29</v>
      </c>
      <c r="V500" t="s">
        <v>29</v>
      </c>
      <c r="W500">
        <v>0</v>
      </c>
      <c r="X500">
        <v>0</v>
      </c>
      <c r="Y500">
        <v>0</v>
      </c>
    </row>
    <row r="501" spans="1:25" x14ac:dyDescent="0.25">
      <c r="A501">
        <v>3</v>
      </c>
      <c r="B501" s="1">
        <v>1010</v>
      </c>
      <c r="C501" s="2" t="s">
        <v>36</v>
      </c>
      <c r="D501" s="2">
        <v>100000</v>
      </c>
      <c r="E501" s="2">
        <v>40800</v>
      </c>
      <c r="F501" s="1">
        <v>50</v>
      </c>
      <c r="G501" s="1">
        <v>37</v>
      </c>
      <c r="H501" s="2" t="s">
        <v>26</v>
      </c>
      <c r="J501" s="2" t="s">
        <v>26</v>
      </c>
      <c r="K501" s="2">
        <v>10000</v>
      </c>
      <c r="L501" s="2" t="s">
        <v>26</v>
      </c>
      <c r="M501" s="1">
        <v>2896</v>
      </c>
      <c r="N501" t="s">
        <v>33</v>
      </c>
      <c r="O501" s="5">
        <f>EDATE(O500,1)</f>
        <v>41821</v>
      </c>
      <c r="P501">
        <v>37</v>
      </c>
      <c r="Q501">
        <v>38</v>
      </c>
      <c r="R501" s="2">
        <f>PPMT((0.1/12),37,50,-10000,0,0)</f>
        <v>218.45777839093722</v>
      </c>
      <c r="S501">
        <v>50</v>
      </c>
      <c r="T501" s="2">
        <v>218.45777839093722</v>
      </c>
      <c r="U501" t="s">
        <v>29</v>
      </c>
      <c r="V501" t="s">
        <v>29</v>
      </c>
      <c r="W501">
        <v>0</v>
      </c>
      <c r="X501">
        <v>0</v>
      </c>
      <c r="Y501">
        <v>0</v>
      </c>
    </row>
    <row r="502" spans="1:25" x14ac:dyDescent="0.25">
      <c r="A502">
        <v>3</v>
      </c>
      <c r="B502" s="1">
        <v>1010</v>
      </c>
      <c r="C502" s="2" t="s">
        <v>36</v>
      </c>
      <c r="D502" s="2">
        <v>100000</v>
      </c>
      <c r="E502" s="2">
        <v>39200</v>
      </c>
      <c r="F502" s="1">
        <v>50</v>
      </c>
      <c r="G502" s="1">
        <v>38</v>
      </c>
      <c r="H502" s="2" t="s">
        <v>26</v>
      </c>
      <c r="J502" s="2" t="s">
        <v>26</v>
      </c>
      <c r="K502" s="2">
        <v>10000</v>
      </c>
      <c r="L502" s="2" t="s">
        <v>26</v>
      </c>
      <c r="M502" s="1">
        <v>2896</v>
      </c>
      <c r="N502" t="s">
        <v>33</v>
      </c>
      <c r="O502" s="5">
        <f>EDATE(O501,1)</f>
        <v>41852</v>
      </c>
      <c r="P502">
        <v>38</v>
      </c>
      <c r="Q502">
        <v>39</v>
      </c>
      <c r="R502" s="2">
        <f>PPMT((0.1/12),38,50,-10000,0,0)</f>
        <v>220.27825987752837</v>
      </c>
      <c r="S502">
        <v>50</v>
      </c>
      <c r="T502" s="2">
        <v>220.27825987752837</v>
      </c>
      <c r="U502" t="s">
        <v>29</v>
      </c>
      <c r="V502" t="s">
        <v>29</v>
      </c>
      <c r="W502">
        <v>0</v>
      </c>
      <c r="X502">
        <v>0</v>
      </c>
      <c r="Y502">
        <v>0</v>
      </c>
    </row>
    <row r="503" spans="1:25" x14ac:dyDescent="0.25">
      <c r="A503">
        <v>3</v>
      </c>
      <c r="B503" s="1">
        <v>1010</v>
      </c>
      <c r="C503" s="2" t="s">
        <v>36</v>
      </c>
      <c r="D503" s="2">
        <v>100000</v>
      </c>
      <c r="E503" s="2">
        <v>37600</v>
      </c>
      <c r="F503" s="1">
        <v>50</v>
      </c>
      <c r="G503" s="1">
        <v>39</v>
      </c>
      <c r="H503" s="2" t="s">
        <v>26</v>
      </c>
      <c r="J503" s="2" t="s">
        <v>26</v>
      </c>
      <c r="K503" s="2">
        <v>10000</v>
      </c>
      <c r="L503" s="2" t="s">
        <v>26</v>
      </c>
      <c r="M503" s="1">
        <v>2896</v>
      </c>
      <c r="N503" t="s">
        <v>33</v>
      </c>
      <c r="O503" s="5">
        <f>EDATE(O502,1)</f>
        <v>41883</v>
      </c>
      <c r="P503">
        <v>39</v>
      </c>
      <c r="Q503">
        <v>40</v>
      </c>
      <c r="R503" s="2">
        <f>PPMT((0.1/12),39,50,-10000,0,0)</f>
        <v>222.11391204317445</v>
      </c>
      <c r="S503">
        <v>50</v>
      </c>
      <c r="T503" s="2">
        <v>222.11391204317445</v>
      </c>
      <c r="U503" t="s">
        <v>29</v>
      </c>
      <c r="V503" t="s">
        <v>29</v>
      </c>
      <c r="W503">
        <v>0</v>
      </c>
      <c r="X503">
        <v>0</v>
      </c>
      <c r="Y503">
        <v>0</v>
      </c>
    </row>
    <row r="504" spans="1:25" x14ac:dyDescent="0.25">
      <c r="A504">
        <v>3</v>
      </c>
      <c r="B504" s="1">
        <v>1010</v>
      </c>
      <c r="C504" s="2" t="s">
        <v>36</v>
      </c>
      <c r="D504" s="2">
        <v>100000</v>
      </c>
      <c r="E504" s="2">
        <v>36000</v>
      </c>
      <c r="F504" s="1">
        <v>50</v>
      </c>
      <c r="G504" s="1">
        <v>40</v>
      </c>
      <c r="H504" s="2" t="s">
        <v>26</v>
      </c>
      <c r="J504" s="2" t="s">
        <v>26</v>
      </c>
      <c r="K504" s="2">
        <v>10000</v>
      </c>
      <c r="L504" s="2" t="s">
        <v>26</v>
      </c>
      <c r="M504" s="1">
        <v>2896</v>
      </c>
      <c r="N504" t="s">
        <v>33</v>
      </c>
      <c r="O504" s="5">
        <f>EDATE(O503,1)</f>
        <v>41913</v>
      </c>
      <c r="P504">
        <v>40</v>
      </c>
      <c r="Q504">
        <v>41</v>
      </c>
      <c r="R504" s="2">
        <f>PPMT((0.1/12),40,50,-10000,0,0)</f>
        <v>223.96486131020089</v>
      </c>
      <c r="S504">
        <v>50</v>
      </c>
      <c r="T504" s="2">
        <v>223.96486131020089</v>
      </c>
      <c r="U504" t="s">
        <v>29</v>
      </c>
      <c r="V504" t="s">
        <v>29</v>
      </c>
      <c r="W504">
        <v>0</v>
      </c>
      <c r="X504">
        <v>0</v>
      </c>
      <c r="Y504">
        <v>0</v>
      </c>
    </row>
    <row r="505" spans="1:25" x14ac:dyDescent="0.25">
      <c r="A505">
        <v>3</v>
      </c>
      <c r="B505" s="1">
        <v>1010</v>
      </c>
      <c r="C505" s="2" t="s">
        <v>36</v>
      </c>
      <c r="D505" s="2">
        <v>100000</v>
      </c>
      <c r="E505" s="2">
        <v>34400</v>
      </c>
      <c r="F505" s="1">
        <v>50</v>
      </c>
      <c r="G505" s="1">
        <v>41</v>
      </c>
      <c r="H505" s="2" t="s">
        <v>26</v>
      </c>
      <c r="J505" s="2" t="s">
        <v>26</v>
      </c>
      <c r="K505" s="2">
        <v>10000</v>
      </c>
      <c r="L505" s="2" t="s">
        <v>26</v>
      </c>
      <c r="M505" s="1">
        <v>2896</v>
      </c>
      <c r="N505" t="s">
        <v>33</v>
      </c>
      <c r="O505" s="5">
        <f>EDATE(O504,1)</f>
        <v>41944</v>
      </c>
      <c r="P505">
        <v>41</v>
      </c>
      <c r="Q505">
        <v>42</v>
      </c>
      <c r="R505" s="2">
        <f>PPMT((0.1/12),41,50,-10000,0,0)</f>
        <v>225.83123515445257</v>
      </c>
      <c r="S505">
        <v>50</v>
      </c>
      <c r="T505" s="2">
        <v>225.83123515445257</v>
      </c>
      <c r="U505" t="s">
        <v>29</v>
      </c>
      <c r="V505" t="s">
        <v>29</v>
      </c>
      <c r="W505">
        <v>0</v>
      </c>
      <c r="X505">
        <v>0</v>
      </c>
      <c r="Y505">
        <v>0</v>
      </c>
    </row>
    <row r="506" spans="1:25" x14ac:dyDescent="0.25">
      <c r="A506">
        <v>3</v>
      </c>
      <c r="B506" s="1">
        <v>1010</v>
      </c>
      <c r="C506" s="2" t="s">
        <v>36</v>
      </c>
      <c r="D506" s="2">
        <v>100000</v>
      </c>
      <c r="E506" s="2">
        <v>32800</v>
      </c>
      <c r="F506" s="1">
        <v>50</v>
      </c>
      <c r="G506" s="1">
        <v>42</v>
      </c>
      <c r="H506" s="2" t="s">
        <v>26</v>
      </c>
      <c r="J506" s="2" t="s">
        <v>26</v>
      </c>
      <c r="K506" s="2">
        <v>10000</v>
      </c>
      <c r="L506" s="2" t="s">
        <v>26</v>
      </c>
      <c r="M506" s="1">
        <v>2896</v>
      </c>
      <c r="N506" t="s">
        <v>33</v>
      </c>
      <c r="O506" s="5">
        <f>EDATE(O505,1)</f>
        <v>41974</v>
      </c>
      <c r="P506">
        <v>42</v>
      </c>
      <c r="Q506">
        <v>43</v>
      </c>
      <c r="R506" s="2">
        <f>PPMT((0.1/12),42,50,-10000,0,0)</f>
        <v>227.71316211407301</v>
      </c>
      <c r="S506">
        <v>50</v>
      </c>
      <c r="T506" s="2">
        <v>227.71316211407301</v>
      </c>
      <c r="U506" t="s">
        <v>29</v>
      </c>
      <c r="V506" t="s">
        <v>29</v>
      </c>
      <c r="W506">
        <v>0</v>
      </c>
      <c r="X506">
        <v>0</v>
      </c>
      <c r="Y506">
        <v>0</v>
      </c>
    </row>
    <row r="507" spans="1:25" x14ac:dyDescent="0.25">
      <c r="A507">
        <v>3</v>
      </c>
      <c r="B507" s="1">
        <v>1010</v>
      </c>
      <c r="C507" s="2" t="s">
        <v>36</v>
      </c>
      <c r="D507" s="2">
        <v>100000</v>
      </c>
      <c r="E507" s="2">
        <v>31200</v>
      </c>
      <c r="F507" s="1">
        <v>50</v>
      </c>
      <c r="G507" s="1">
        <v>43</v>
      </c>
      <c r="H507" s="2" t="s">
        <v>26</v>
      </c>
      <c r="J507" s="2" t="s">
        <v>26</v>
      </c>
      <c r="K507" s="2">
        <v>10000</v>
      </c>
      <c r="L507" s="2" t="s">
        <v>26</v>
      </c>
      <c r="M507" s="1">
        <v>2896</v>
      </c>
      <c r="N507" t="s">
        <v>33</v>
      </c>
      <c r="O507" s="5">
        <f>EDATE(O506,1)</f>
        <v>42005</v>
      </c>
      <c r="P507">
        <v>43</v>
      </c>
      <c r="Q507">
        <v>44</v>
      </c>
      <c r="R507" s="2">
        <f>PPMT((0.1/12),43,50,-10000,0,0)</f>
        <v>229.61077179835695</v>
      </c>
      <c r="S507">
        <v>50</v>
      </c>
      <c r="T507" s="2">
        <v>229.61077179835695</v>
      </c>
      <c r="U507" t="s">
        <v>29</v>
      </c>
      <c r="V507" t="s">
        <v>29</v>
      </c>
      <c r="W507">
        <v>0</v>
      </c>
      <c r="X507">
        <v>0</v>
      </c>
      <c r="Y507">
        <v>0</v>
      </c>
    </row>
    <row r="508" spans="1:25" x14ac:dyDescent="0.25">
      <c r="A508">
        <v>3</v>
      </c>
      <c r="B508" s="1">
        <v>1010</v>
      </c>
      <c r="C508" s="2" t="s">
        <v>36</v>
      </c>
      <c r="D508" s="2">
        <v>100000</v>
      </c>
      <c r="E508" s="2">
        <v>29600</v>
      </c>
      <c r="F508" s="1">
        <v>50</v>
      </c>
      <c r="G508" s="1">
        <v>44</v>
      </c>
      <c r="H508" s="2" t="s">
        <v>26</v>
      </c>
      <c r="J508" s="2" t="s">
        <v>26</v>
      </c>
      <c r="K508" s="2">
        <v>10000</v>
      </c>
      <c r="L508" s="2" t="s">
        <v>26</v>
      </c>
      <c r="M508" s="1">
        <v>2896</v>
      </c>
      <c r="N508" t="s">
        <v>33</v>
      </c>
      <c r="O508" s="5">
        <f>EDATE(O507,1)</f>
        <v>42036</v>
      </c>
      <c r="P508">
        <v>44</v>
      </c>
      <c r="Q508">
        <v>45</v>
      </c>
      <c r="R508" s="2">
        <f>PPMT((0.1/12),44,50,-10000,0,0)</f>
        <v>231.52419489667656</v>
      </c>
      <c r="S508">
        <v>50</v>
      </c>
      <c r="T508" s="2">
        <v>231.52419489667656</v>
      </c>
      <c r="U508" t="s">
        <v>29</v>
      </c>
      <c r="V508" t="s">
        <v>29</v>
      </c>
      <c r="W508">
        <v>0</v>
      </c>
      <c r="X508">
        <v>0</v>
      </c>
      <c r="Y508">
        <v>0</v>
      </c>
    </row>
    <row r="509" spans="1:25" x14ac:dyDescent="0.25">
      <c r="A509">
        <v>3</v>
      </c>
      <c r="B509" s="1">
        <v>1010</v>
      </c>
      <c r="C509" s="2" t="s">
        <v>36</v>
      </c>
      <c r="D509" s="2">
        <v>100000</v>
      </c>
      <c r="E509" s="2">
        <v>28000</v>
      </c>
      <c r="F509" s="1">
        <v>50</v>
      </c>
      <c r="G509" s="1">
        <v>45</v>
      </c>
      <c r="H509" s="2" t="s">
        <v>26</v>
      </c>
      <c r="J509" s="2" t="s">
        <v>26</v>
      </c>
      <c r="K509" s="2">
        <v>10000</v>
      </c>
      <c r="L509" s="2" t="s">
        <v>26</v>
      </c>
      <c r="M509" s="1">
        <v>2896</v>
      </c>
      <c r="N509" t="s">
        <v>33</v>
      </c>
      <c r="O509" s="5">
        <f>EDATE(O508,1)</f>
        <v>42064</v>
      </c>
      <c r="P509">
        <v>45</v>
      </c>
      <c r="Q509">
        <v>46</v>
      </c>
      <c r="R509" s="2">
        <f>PPMT((0.1/12),45,50,-10000,0,0)</f>
        <v>233.45356318748225</v>
      </c>
      <c r="S509">
        <v>50</v>
      </c>
      <c r="T509" s="2">
        <v>233.45356318748225</v>
      </c>
      <c r="U509" t="s">
        <v>29</v>
      </c>
      <c r="V509" t="s">
        <v>29</v>
      </c>
      <c r="W509">
        <v>0</v>
      </c>
      <c r="X509">
        <v>0</v>
      </c>
      <c r="Y509">
        <v>0</v>
      </c>
    </row>
    <row r="510" spans="1:25" x14ac:dyDescent="0.25">
      <c r="A510">
        <v>3</v>
      </c>
      <c r="B510" s="1">
        <v>1010</v>
      </c>
      <c r="C510" s="2" t="s">
        <v>36</v>
      </c>
      <c r="D510" s="2">
        <v>100000</v>
      </c>
      <c r="E510" s="2">
        <v>26400</v>
      </c>
      <c r="F510" s="1">
        <v>50</v>
      </c>
      <c r="G510" s="1">
        <v>46</v>
      </c>
      <c r="H510" s="2" t="s">
        <v>26</v>
      </c>
      <c r="J510" s="2" t="s">
        <v>26</v>
      </c>
      <c r="K510" s="2">
        <v>10000</v>
      </c>
      <c r="L510" s="2" t="s">
        <v>26</v>
      </c>
      <c r="M510" s="1">
        <v>2896</v>
      </c>
      <c r="N510" t="s">
        <v>33</v>
      </c>
      <c r="O510" s="5">
        <f>EDATE(O509,1)</f>
        <v>42095</v>
      </c>
      <c r="P510">
        <v>46</v>
      </c>
      <c r="Q510">
        <v>47</v>
      </c>
      <c r="R510" s="2">
        <f>PPMT((0.1/12),46,50,-10000,0,0)</f>
        <v>235.39900954737791</v>
      </c>
      <c r="S510">
        <v>50</v>
      </c>
      <c r="T510" s="2">
        <v>235.39900954737791</v>
      </c>
      <c r="U510" t="s">
        <v>29</v>
      </c>
      <c r="V510" t="s">
        <v>29</v>
      </c>
      <c r="W510">
        <v>0</v>
      </c>
      <c r="X510">
        <v>0</v>
      </c>
      <c r="Y510">
        <v>0</v>
      </c>
    </row>
    <row r="511" spans="1:25" x14ac:dyDescent="0.25">
      <c r="A511">
        <v>3</v>
      </c>
      <c r="B511" s="1">
        <v>1010</v>
      </c>
      <c r="C511" s="2" t="s">
        <v>36</v>
      </c>
      <c r="D511" s="2">
        <v>100000</v>
      </c>
      <c r="E511" s="2">
        <v>24800</v>
      </c>
      <c r="F511" s="1">
        <v>50</v>
      </c>
      <c r="G511" s="1">
        <v>47</v>
      </c>
      <c r="H511" s="2" t="s">
        <v>26</v>
      </c>
      <c r="J511" s="2" t="s">
        <v>26</v>
      </c>
      <c r="K511" s="2">
        <v>10000</v>
      </c>
      <c r="L511" s="2" t="s">
        <v>26</v>
      </c>
      <c r="M511" s="1">
        <v>2896</v>
      </c>
      <c r="N511" t="s">
        <v>33</v>
      </c>
      <c r="O511" s="5">
        <f>EDATE(O510,1)</f>
        <v>42125</v>
      </c>
      <c r="P511">
        <v>47</v>
      </c>
      <c r="Q511">
        <v>48</v>
      </c>
      <c r="R511" s="2">
        <f>PPMT((0.1/12),47,50,-10000,0,0)</f>
        <v>237.36066796027274</v>
      </c>
      <c r="S511">
        <v>50</v>
      </c>
      <c r="T511" s="2">
        <v>237.36066796027274</v>
      </c>
      <c r="U511" t="s">
        <v>29</v>
      </c>
      <c r="V511" t="s">
        <v>29</v>
      </c>
      <c r="W511">
        <v>0</v>
      </c>
      <c r="X511">
        <v>0</v>
      </c>
      <c r="Y511">
        <v>0</v>
      </c>
    </row>
    <row r="512" spans="1:25" x14ac:dyDescent="0.25">
      <c r="A512">
        <v>3</v>
      </c>
      <c r="B512" s="1">
        <v>1010</v>
      </c>
      <c r="C512" s="2" t="s">
        <v>36</v>
      </c>
      <c r="D512" s="2">
        <v>100000</v>
      </c>
      <c r="E512" s="2">
        <v>23200</v>
      </c>
      <c r="F512" s="1">
        <v>50</v>
      </c>
      <c r="G512" s="1">
        <v>48</v>
      </c>
      <c r="H512" s="2" t="s">
        <v>26</v>
      </c>
      <c r="J512" s="2" t="s">
        <v>26</v>
      </c>
      <c r="K512" s="2">
        <v>10000</v>
      </c>
      <c r="L512" s="2" t="s">
        <v>26</v>
      </c>
      <c r="M512" s="1">
        <v>2896</v>
      </c>
      <c r="N512" t="s">
        <v>33</v>
      </c>
      <c r="O512" s="5">
        <f>EDATE(O511,1)</f>
        <v>42156</v>
      </c>
      <c r="P512">
        <v>48</v>
      </c>
      <c r="Q512">
        <v>49</v>
      </c>
      <c r="R512" s="2">
        <f>PPMT((0.1/12),48,50,-10000,0,0)</f>
        <v>239.33867352660832</v>
      </c>
      <c r="S512">
        <v>50</v>
      </c>
      <c r="T512" s="2">
        <v>239.33867352660832</v>
      </c>
      <c r="U512" t="s">
        <v>29</v>
      </c>
      <c r="V512" t="s">
        <v>29</v>
      </c>
      <c r="W512">
        <v>0</v>
      </c>
      <c r="X512">
        <v>0</v>
      </c>
      <c r="Y512">
        <v>0</v>
      </c>
    </row>
    <row r="513" spans="1:25" x14ac:dyDescent="0.25">
      <c r="A513">
        <v>3</v>
      </c>
      <c r="B513" s="1">
        <v>1010</v>
      </c>
      <c r="C513" s="2" t="s">
        <v>36</v>
      </c>
      <c r="D513" s="2">
        <v>100000</v>
      </c>
      <c r="E513" s="2">
        <v>21600</v>
      </c>
      <c r="F513" s="1">
        <v>50</v>
      </c>
      <c r="G513" s="1">
        <v>49</v>
      </c>
      <c r="H513" s="2" t="s">
        <v>26</v>
      </c>
      <c r="J513" s="2" t="s">
        <v>26</v>
      </c>
      <c r="K513" s="2">
        <v>10000</v>
      </c>
      <c r="L513" s="2" t="s">
        <v>26</v>
      </c>
      <c r="M513" s="1">
        <v>2896</v>
      </c>
      <c r="N513" t="s">
        <v>33</v>
      </c>
      <c r="O513" s="5">
        <f>EDATE(O512,1)</f>
        <v>42186</v>
      </c>
      <c r="P513">
        <v>49</v>
      </c>
      <c r="Q513">
        <v>50</v>
      </c>
      <c r="R513" s="2">
        <f>PPMT((0.1/12),49,50,-10000,0,0)</f>
        <v>241.33316247266342</v>
      </c>
      <c r="S513">
        <v>50</v>
      </c>
      <c r="T513" s="2">
        <v>241.33316247266342</v>
      </c>
      <c r="U513" t="s">
        <v>29</v>
      </c>
      <c r="V513" t="s">
        <v>29</v>
      </c>
      <c r="W513">
        <v>0</v>
      </c>
      <c r="X513">
        <v>0</v>
      </c>
      <c r="Y513">
        <v>0</v>
      </c>
    </row>
    <row r="514" spans="1:25" x14ac:dyDescent="0.25">
      <c r="A514">
        <v>3</v>
      </c>
      <c r="B514" s="1">
        <v>1010</v>
      </c>
      <c r="C514" s="2" t="s">
        <v>36</v>
      </c>
      <c r="D514" s="2">
        <v>100000</v>
      </c>
      <c r="E514" s="2">
        <v>20000</v>
      </c>
      <c r="F514" s="1">
        <v>50</v>
      </c>
      <c r="G514" s="1">
        <v>50</v>
      </c>
      <c r="H514" s="2" t="s">
        <v>26</v>
      </c>
      <c r="J514" s="2" t="s">
        <v>26</v>
      </c>
      <c r="K514" s="2">
        <v>10000</v>
      </c>
      <c r="L514" s="2" t="s">
        <v>26</v>
      </c>
      <c r="M514" s="1">
        <v>2896</v>
      </c>
      <c r="N514" t="s">
        <v>33</v>
      </c>
      <c r="O514" s="5">
        <f>EDATE(O513,1)</f>
        <v>42217</v>
      </c>
      <c r="P514">
        <v>50</v>
      </c>
      <c r="Q514">
        <v>51</v>
      </c>
      <c r="R514" s="2">
        <f>PPMT((0.1/12),50,50,-10000,0,0)</f>
        <v>243.3442721599356</v>
      </c>
      <c r="S514">
        <v>50</v>
      </c>
      <c r="T514" s="2">
        <v>243.3442721599356</v>
      </c>
      <c r="U514" t="s">
        <v>29</v>
      </c>
      <c r="V514" t="s">
        <v>29</v>
      </c>
      <c r="W514">
        <v>0</v>
      </c>
      <c r="X514">
        <v>0</v>
      </c>
      <c r="Y514">
        <v>0</v>
      </c>
    </row>
    <row r="515" spans="1:25" x14ac:dyDescent="0.25">
      <c r="A515">
        <v>3</v>
      </c>
      <c r="B515" s="1">
        <v>1010</v>
      </c>
      <c r="C515" s="2" t="s">
        <v>36</v>
      </c>
      <c r="D515" s="2">
        <v>100000</v>
      </c>
      <c r="E515" s="2">
        <v>18400</v>
      </c>
      <c r="F515" s="1">
        <v>50</v>
      </c>
      <c r="G515" s="1">
        <v>51</v>
      </c>
      <c r="H515" s="2" t="s">
        <v>26</v>
      </c>
      <c r="J515" s="2" t="s">
        <v>26</v>
      </c>
      <c r="K515" s="2">
        <v>10000</v>
      </c>
      <c r="L515" s="2" t="s">
        <v>26</v>
      </c>
      <c r="M515" s="1">
        <v>2896</v>
      </c>
      <c r="N515" t="s">
        <v>33</v>
      </c>
      <c r="O515" s="5">
        <f>EDATE(O514,1)</f>
        <v>42248</v>
      </c>
      <c r="P515">
        <v>51</v>
      </c>
      <c r="Q515">
        <v>999</v>
      </c>
      <c r="S515">
        <v>50</v>
      </c>
      <c r="T515" s="2">
        <v>0</v>
      </c>
      <c r="U515" t="s">
        <v>29</v>
      </c>
      <c r="V515" t="s">
        <v>29</v>
      </c>
      <c r="W515">
        <v>0</v>
      </c>
      <c r="X515">
        <v>0</v>
      </c>
      <c r="Y515">
        <v>0</v>
      </c>
    </row>
    <row r="516" spans="1:25" x14ac:dyDescent="0.25">
      <c r="A516">
        <v>3</v>
      </c>
      <c r="B516" s="1">
        <v>1010</v>
      </c>
      <c r="C516" s="2" t="s">
        <v>36</v>
      </c>
      <c r="D516" s="2">
        <v>100000</v>
      </c>
      <c r="E516" s="2">
        <v>98400</v>
      </c>
      <c r="F516" s="1">
        <v>50</v>
      </c>
      <c r="G516" s="1">
        <v>1</v>
      </c>
      <c r="H516" s="2" t="s">
        <v>26</v>
      </c>
      <c r="J516" s="2" t="s">
        <v>26</v>
      </c>
      <c r="K516" s="2">
        <v>10000</v>
      </c>
      <c r="L516" s="2" t="s">
        <v>26</v>
      </c>
      <c r="M516" s="1">
        <v>2897</v>
      </c>
      <c r="N516" t="s">
        <v>34</v>
      </c>
      <c r="O516" s="5">
        <v>40725</v>
      </c>
      <c r="P516">
        <v>1</v>
      </c>
      <c r="Q516">
        <v>2</v>
      </c>
      <c r="R516" s="2">
        <f>IPMT((0.1/12),1,50,-10000,0,0)</f>
        <v>83.333333333333329</v>
      </c>
      <c r="S516">
        <v>50</v>
      </c>
      <c r="T516" s="2">
        <v>83.333333333333329</v>
      </c>
      <c r="U516" t="s">
        <v>29</v>
      </c>
      <c r="V516" t="s">
        <v>29</v>
      </c>
      <c r="W516">
        <v>0</v>
      </c>
      <c r="X516">
        <v>0</v>
      </c>
      <c r="Y516">
        <v>0</v>
      </c>
    </row>
    <row r="517" spans="1:25" x14ac:dyDescent="0.25">
      <c r="A517">
        <v>3</v>
      </c>
      <c r="B517" s="1">
        <v>1010</v>
      </c>
      <c r="C517" s="2" t="s">
        <v>36</v>
      </c>
      <c r="D517" s="2">
        <v>100000</v>
      </c>
      <c r="E517" s="2">
        <v>96800</v>
      </c>
      <c r="F517" s="1">
        <v>50</v>
      </c>
      <c r="G517" s="1">
        <v>2</v>
      </c>
      <c r="H517" s="2" t="s">
        <v>26</v>
      </c>
      <c r="J517" s="2" t="s">
        <v>26</v>
      </c>
      <c r="K517" s="2">
        <v>10000</v>
      </c>
      <c r="L517" s="2" t="s">
        <v>26</v>
      </c>
      <c r="M517" s="1">
        <v>2897</v>
      </c>
      <c r="N517" t="s">
        <v>34</v>
      </c>
      <c r="O517" s="5">
        <f>EDATE(O516,1)</f>
        <v>40756</v>
      </c>
      <c r="P517">
        <v>2</v>
      </c>
      <c r="Q517">
        <v>3</v>
      </c>
      <c r="R517" s="2">
        <f>IPMT((0.1/12),2,50,-10000,0,0)</f>
        <v>81.983009935322755</v>
      </c>
      <c r="S517">
        <v>50</v>
      </c>
      <c r="T517" s="2">
        <v>81.983009935322755</v>
      </c>
      <c r="U517" t="s">
        <v>29</v>
      </c>
      <c r="V517" t="s">
        <v>29</v>
      </c>
      <c r="W517">
        <v>0</v>
      </c>
      <c r="X517">
        <v>0</v>
      </c>
      <c r="Y517">
        <v>0</v>
      </c>
    </row>
    <row r="518" spans="1:25" x14ac:dyDescent="0.25">
      <c r="A518">
        <v>3</v>
      </c>
      <c r="B518" s="1">
        <v>1010</v>
      </c>
      <c r="C518" s="2" t="s">
        <v>36</v>
      </c>
      <c r="D518" s="2">
        <v>100000</v>
      </c>
      <c r="E518" s="2">
        <v>95200</v>
      </c>
      <c r="F518" s="1">
        <v>50</v>
      </c>
      <c r="G518" s="1">
        <v>3</v>
      </c>
      <c r="H518" s="2" t="s">
        <v>26</v>
      </c>
      <c r="J518" s="2" t="s">
        <v>26</v>
      </c>
      <c r="K518" s="2">
        <v>10000</v>
      </c>
      <c r="L518" s="2" t="s">
        <v>26</v>
      </c>
      <c r="M518" s="1">
        <v>2897</v>
      </c>
      <c r="N518" t="s">
        <v>34</v>
      </c>
      <c r="O518" s="5">
        <f>EDATE(O517,1)</f>
        <v>40787</v>
      </c>
      <c r="P518">
        <v>3</v>
      </c>
      <c r="Q518">
        <v>4</v>
      </c>
      <c r="R518" s="2">
        <f>IPMT((0.1/12),3,50,-10000,0,0)</f>
        <v>80.621433842328784</v>
      </c>
      <c r="S518">
        <v>50</v>
      </c>
      <c r="T518" s="2">
        <v>80.621433842328784</v>
      </c>
      <c r="U518" t="s">
        <v>29</v>
      </c>
      <c r="V518" t="s">
        <v>29</v>
      </c>
      <c r="W518">
        <v>0</v>
      </c>
      <c r="X518">
        <v>0</v>
      </c>
      <c r="Y518">
        <v>0</v>
      </c>
    </row>
    <row r="519" spans="1:25" x14ac:dyDescent="0.25">
      <c r="A519">
        <v>3</v>
      </c>
      <c r="B519" s="1">
        <v>1010</v>
      </c>
      <c r="C519" s="2" t="s">
        <v>36</v>
      </c>
      <c r="D519" s="2">
        <v>100000</v>
      </c>
      <c r="E519" s="2">
        <v>93600</v>
      </c>
      <c r="F519" s="1">
        <v>50</v>
      </c>
      <c r="G519" s="1">
        <v>4</v>
      </c>
      <c r="H519" s="2" t="s">
        <v>26</v>
      </c>
      <c r="J519" s="2" t="s">
        <v>26</v>
      </c>
      <c r="K519" s="2">
        <v>10000</v>
      </c>
      <c r="L519" s="2" t="s">
        <v>26</v>
      </c>
      <c r="M519" s="1">
        <v>2897</v>
      </c>
      <c r="N519" t="s">
        <v>34</v>
      </c>
      <c r="O519" s="5">
        <f>EDATE(O518,1)</f>
        <v>40817</v>
      </c>
      <c r="P519">
        <v>4</v>
      </c>
      <c r="Q519">
        <v>5</v>
      </c>
      <c r="R519" s="2">
        <f>IPMT((0.1/12),4,50,-10000,0,0)</f>
        <v>79.248511281893173</v>
      </c>
      <c r="S519">
        <v>50</v>
      </c>
      <c r="T519" s="2">
        <v>79.248511281893173</v>
      </c>
      <c r="U519" t="s">
        <v>29</v>
      </c>
      <c r="V519" t="s">
        <v>29</v>
      </c>
      <c r="W519">
        <v>0</v>
      </c>
      <c r="X519">
        <v>0</v>
      </c>
      <c r="Y519">
        <v>0</v>
      </c>
    </row>
    <row r="520" spans="1:25" x14ac:dyDescent="0.25">
      <c r="A520">
        <v>3</v>
      </c>
      <c r="B520" s="1">
        <v>1010</v>
      </c>
      <c r="C520" s="2" t="s">
        <v>36</v>
      </c>
      <c r="D520" s="2">
        <v>100000</v>
      </c>
      <c r="E520" s="2">
        <v>92000</v>
      </c>
      <c r="F520" s="1">
        <v>50</v>
      </c>
      <c r="G520" s="1">
        <v>5</v>
      </c>
      <c r="H520" s="2" t="s">
        <v>26</v>
      </c>
      <c r="J520" s="2" t="s">
        <v>26</v>
      </c>
      <c r="K520" s="2">
        <v>10000</v>
      </c>
      <c r="L520" s="2" t="s">
        <v>26</v>
      </c>
      <c r="M520" s="1">
        <v>2897</v>
      </c>
      <c r="N520" t="s">
        <v>34</v>
      </c>
      <c r="O520" s="5">
        <f>EDATE(O519,1)</f>
        <v>40848</v>
      </c>
      <c r="P520">
        <v>5</v>
      </c>
      <c r="Q520">
        <v>6</v>
      </c>
      <c r="R520" s="2">
        <f>IPMT((0.1/12),5,50,-10000,0,0)</f>
        <v>77.864147700120597</v>
      </c>
      <c r="S520">
        <v>50</v>
      </c>
      <c r="T520" s="2">
        <v>77.864147700120597</v>
      </c>
      <c r="U520" t="s">
        <v>29</v>
      </c>
      <c r="V520" t="s">
        <v>29</v>
      </c>
      <c r="W520">
        <v>0</v>
      </c>
      <c r="X520">
        <v>0</v>
      </c>
      <c r="Y520">
        <v>0</v>
      </c>
    </row>
    <row r="521" spans="1:25" x14ac:dyDescent="0.25">
      <c r="A521">
        <v>3</v>
      </c>
      <c r="B521" s="1">
        <v>1010</v>
      </c>
      <c r="C521" s="2" t="s">
        <v>36</v>
      </c>
      <c r="D521" s="2">
        <v>100000</v>
      </c>
      <c r="E521" s="2">
        <v>90400</v>
      </c>
      <c r="F521" s="1">
        <v>50</v>
      </c>
      <c r="G521" s="1">
        <v>6</v>
      </c>
      <c r="H521" s="2" t="s">
        <v>26</v>
      </c>
      <c r="J521" s="2" t="s">
        <v>26</v>
      </c>
      <c r="K521" s="2">
        <v>10000</v>
      </c>
      <c r="L521" s="2" t="s">
        <v>26</v>
      </c>
      <c r="M521" s="1">
        <v>2897</v>
      </c>
      <c r="N521" t="s">
        <v>34</v>
      </c>
      <c r="O521" s="5">
        <f>EDATE(O520,1)</f>
        <v>40878</v>
      </c>
      <c r="P521">
        <v>6</v>
      </c>
      <c r="Q521">
        <v>7</v>
      </c>
      <c r="R521" s="2">
        <f>IPMT((0.1/12),6,50,-10000,0,0)</f>
        <v>76.468247755166587</v>
      </c>
      <c r="S521">
        <v>50</v>
      </c>
      <c r="T521" s="2">
        <v>76.468247755166587</v>
      </c>
      <c r="U521" t="s">
        <v>29</v>
      </c>
      <c r="V521" t="s">
        <v>29</v>
      </c>
      <c r="W521">
        <v>0</v>
      </c>
      <c r="X521">
        <v>0</v>
      </c>
      <c r="Y521">
        <v>0</v>
      </c>
    </row>
    <row r="522" spans="1:25" x14ac:dyDescent="0.25">
      <c r="A522">
        <v>3</v>
      </c>
      <c r="B522" s="1">
        <v>1010</v>
      </c>
      <c r="C522" s="2" t="s">
        <v>36</v>
      </c>
      <c r="D522" s="2">
        <v>100000</v>
      </c>
      <c r="E522" s="2">
        <v>88800</v>
      </c>
      <c r="F522" s="1">
        <v>50</v>
      </c>
      <c r="G522" s="1">
        <v>7</v>
      </c>
      <c r="H522" s="2" t="s">
        <v>26</v>
      </c>
      <c r="J522" s="2" t="s">
        <v>26</v>
      </c>
      <c r="K522" s="2">
        <v>10000</v>
      </c>
      <c r="L522" s="2" t="s">
        <v>26</v>
      </c>
      <c r="M522" s="1">
        <v>2897</v>
      </c>
      <c r="N522" t="s">
        <v>34</v>
      </c>
      <c r="O522" s="5">
        <f>EDATE(O521,1)</f>
        <v>40909</v>
      </c>
      <c r="P522">
        <v>7</v>
      </c>
      <c r="Q522">
        <v>8</v>
      </c>
      <c r="R522" s="2">
        <f>IPMT((0.1/12),7,50,-10000,0,0)</f>
        <v>75.060715310671284</v>
      </c>
      <c r="S522">
        <v>50</v>
      </c>
      <c r="T522" s="2">
        <v>75.060715310671284</v>
      </c>
      <c r="U522" t="s">
        <v>29</v>
      </c>
      <c r="V522" t="s">
        <v>29</v>
      </c>
      <c r="W522">
        <v>0</v>
      </c>
      <c r="X522">
        <v>0</v>
      </c>
      <c r="Y522">
        <v>0</v>
      </c>
    </row>
    <row r="523" spans="1:25" x14ac:dyDescent="0.25">
      <c r="A523">
        <v>3</v>
      </c>
      <c r="B523" s="1">
        <v>1010</v>
      </c>
      <c r="C523" s="2" t="s">
        <v>36</v>
      </c>
      <c r="D523" s="2">
        <v>100000</v>
      </c>
      <c r="E523" s="2">
        <v>87200</v>
      </c>
      <c r="F523" s="1">
        <v>50</v>
      </c>
      <c r="G523" s="1">
        <v>8</v>
      </c>
      <c r="H523" s="2" t="s">
        <v>26</v>
      </c>
      <c r="J523" s="2" t="s">
        <v>26</v>
      </c>
      <c r="K523" s="2">
        <v>10000</v>
      </c>
      <c r="L523" s="2" t="s">
        <v>26</v>
      </c>
      <c r="M523" s="1">
        <v>2897</v>
      </c>
      <c r="N523" t="s">
        <v>34</v>
      </c>
      <c r="O523" s="5">
        <f>EDATE(O522,1)</f>
        <v>40940</v>
      </c>
      <c r="P523">
        <v>8</v>
      </c>
      <c r="Q523">
        <v>9</v>
      </c>
      <c r="R523" s="2">
        <f>IPMT((0.1/12),8,50,-10000,0,0)</f>
        <v>73.641453429138537</v>
      </c>
      <c r="S523">
        <v>50</v>
      </c>
      <c r="T523" s="2">
        <v>73.641453429138537</v>
      </c>
      <c r="U523" t="s">
        <v>29</v>
      </c>
      <c r="V523" t="s">
        <v>29</v>
      </c>
      <c r="W523">
        <v>0</v>
      </c>
      <c r="X523">
        <v>0</v>
      </c>
      <c r="Y523">
        <v>0</v>
      </c>
    </row>
    <row r="524" spans="1:25" x14ac:dyDescent="0.25">
      <c r="A524">
        <v>3</v>
      </c>
      <c r="B524" s="1">
        <v>1010</v>
      </c>
      <c r="C524" s="2" t="s">
        <v>36</v>
      </c>
      <c r="D524" s="2">
        <v>100000</v>
      </c>
      <c r="E524" s="2">
        <v>85600</v>
      </c>
      <c r="F524" s="1">
        <v>50</v>
      </c>
      <c r="G524" s="1">
        <v>9</v>
      </c>
      <c r="H524" s="2" t="s">
        <v>26</v>
      </c>
      <c r="J524" s="2" t="s">
        <v>26</v>
      </c>
      <c r="K524" s="2">
        <v>10000</v>
      </c>
      <c r="L524" s="2" t="s">
        <v>26</v>
      </c>
      <c r="M524" s="1">
        <v>2897</v>
      </c>
      <c r="N524" t="s">
        <v>34</v>
      </c>
      <c r="O524" s="5">
        <f>EDATE(O523,1)</f>
        <v>40969</v>
      </c>
      <c r="P524">
        <v>9</v>
      </c>
      <c r="Q524">
        <v>10</v>
      </c>
      <c r="R524" s="2">
        <f>IPMT((0.1/12),9,50,-10000,0,0)</f>
        <v>72.210364365259693</v>
      </c>
      <c r="S524">
        <v>50</v>
      </c>
      <c r="T524" s="2">
        <v>72.210364365259693</v>
      </c>
      <c r="U524" t="s">
        <v>29</v>
      </c>
      <c r="V524" t="s">
        <v>29</v>
      </c>
      <c r="W524">
        <v>0</v>
      </c>
      <c r="X524">
        <v>0</v>
      </c>
      <c r="Y524">
        <v>0</v>
      </c>
    </row>
    <row r="525" spans="1:25" x14ac:dyDescent="0.25">
      <c r="A525">
        <v>3</v>
      </c>
      <c r="B525" s="1">
        <v>1010</v>
      </c>
      <c r="C525" s="2" t="s">
        <v>36</v>
      </c>
      <c r="D525" s="2">
        <v>100000</v>
      </c>
      <c r="E525" s="2">
        <v>84000</v>
      </c>
      <c r="F525" s="1">
        <v>50</v>
      </c>
      <c r="G525" s="1">
        <v>10</v>
      </c>
      <c r="H525" s="2" t="s">
        <v>26</v>
      </c>
      <c r="J525" s="2" t="s">
        <v>26</v>
      </c>
      <c r="K525" s="2">
        <v>10000</v>
      </c>
      <c r="L525" s="2" t="s">
        <v>26</v>
      </c>
      <c r="M525" s="1">
        <v>2897</v>
      </c>
      <c r="N525" t="s">
        <v>34</v>
      </c>
      <c r="O525" s="5">
        <f>EDATE(O524,1)</f>
        <v>41000</v>
      </c>
      <c r="P525">
        <v>10</v>
      </c>
      <c r="Q525">
        <v>11</v>
      </c>
      <c r="R525" s="2">
        <f>IPMT((0.1/12),10,50,-10000,0,0)</f>
        <v>70.767349559181838</v>
      </c>
      <c r="S525">
        <v>50</v>
      </c>
      <c r="T525" s="2">
        <v>70.767349559181838</v>
      </c>
      <c r="U525" t="s">
        <v>29</v>
      </c>
      <c r="V525" t="s">
        <v>29</v>
      </c>
      <c r="W525">
        <v>0</v>
      </c>
      <c r="X525">
        <v>0</v>
      </c>
      <c r="Y525">
        <v>0</v>
      </c>
    </row>
    <row r="526" spans="1:25" x14ac:dyDescent="0.25">
      <c r="A526">
        <v>3</v>
      </c>
      <c r="B526" s="1">
        <v>1010</v>
      </c>
      <c r="C526" s="2" t="s">
        <v>36</v>
      </c>
      <c r="D526" s="2">
        <v>100000</v>
      </c>
      <c r="E526" s="2">
        <v>82400</v>
      </c>
      <c r="F526" s="1">
        <v>50</v>
      </c>
      <c r="G526" s="1">
        <v>11</v>
      </c>
      <c r="H526" s="2" t="s">
        <v>26</v>
      </c>
      <c r="J526" s="2" t="s">
        <v>26</v>
      </c>
      <c r="K526" s="2">
        <v>10000</v>
      </c>
      <c r="L526" s="2" t="s">
        <v>26</v>
      </c>
      <c r="M526" s="1">
        <v>2897</v>
      </c>
      <c r="N526" t="s">
        <v>34</v>
      </c>
      <c r="O526" s="5">
        <f>EDATE(O525,1)</f>
        <v>41030</v>
      </c>
      <c r="P526">
        <v>11</v>
      </c>
      <c r="Q526">
        <v>12</v>
      </c>
      <c r="R526" s="2">
        <f>IPMT((0.1/12),11,50,-10000,0,0)</f>
        <v>69.312309629720005</v>
      </c>
      <c r="S526">
        <v>50</v>
      </c>
      <c r="T526" s="2">
        <v>69.312309629720005</v>
      </c>
      <c r="U526" t="s">
        <v>29</v>
      </c>
      <c r="V526" t="s">
        <v>29</v>
      </c>
      <c r="W526">
        <v>0</v>
      </c>
      <c r="X526">
        <v>0</v>
      </c>
      <c r="Y526">
        <v>0</v>
      </c>
    </row>
    <row r="527" spans="1:25" x14ac:dyDescent="0.25">
      <c r="A527">
        <v>3</v>
      </c>
      <c r="B527" s="1">
        <v>1010</v>
      </c>
      <c r="C527" s="2" t="s">
        <v>36</v>
      </c>
      <c r="D527" s="2">
        <v>100000</v>
      </c>
      <c r="E527" s="2">
        <v>80800</v>
      </c>
      <c r="F527" s="1">
        <v>50</v>
      </c>
      <c r="G527" s="1">
        <v>12</v>
      </c>
      <c r="H527" s="2" t="s">
        <v>26</v>
      </c>
      <c r="J527" s="2" t="s">
        <v>26</v>
      </c>
      <c r="K527" s="2">
        <v>10000</v>
      </c>
      <c r="L527" s="2" t="s">
        <v>26</v>
      </c>
      <c r="M527" s="1">
        <v>2897</v>
      </c>
      <c r="N527" t="s">
        <v>34</v>
      </c>
      <c r="O527" s="5">
        <f>EDATE(O526,1)</f>
        <v>41061</v>
      </c>
      <c r="P527">
        <v>12</v>
      </c>
      <c r="Q527">
        <v>13</v>
      </c>
      <c r="R527" s="2">
        <f>IPMT((0.1/12),12,50,-10000,0,0)</f>
        <v>67.84514436751266</v>
      </c>
      <c r="S527">
        <v>50</v>
      </c>
      <c r="T527" s="2">
        <v>67.84514436751266</v>
      </c>
      <c r="U527" t="s">
        <v>29</v>
      </c>
      <c r="V527" t="s">
        <v>29</v>
      </c>
      <c r="W527">
        <v>0</v>
      </c>
      <c r="X527">
        <v>0</v>
      </c>
      <c r="Y527">
        <v>0</v>
      </c>
    </row>
    <row r="528" spans="1:25" x14ac:dyDescent="0.25">
      <c r="A528">
        <v>3</v>
      </c>
      <c r="B528" s="1">
        <v>1010</v>
      </c>
      <c r="C528" s="2" t="s">
        <v>36</v>
      </c>
      <c r="D528" s="2">
        <v>100000</v>
      </c>
      <c r="E528" s="2">
        <v>79200</v>
      </c>
      <c r="F528" s="1">
        <v>50</v>
      </c>
      <c r="G528" s="1">
        <v>13</v>
      </c>
      <c r="H528" s="2" t="s">
        <v>26</v>
      </c>
      <c r="J528" s="2" t="s">
        <v>26</v>
      </c>
      <c r="K528" s="2">
        <v>10000</v>
      </c>
      <c r="L528" s="2" t="s">
        <v>26</v>
      </c>
      <c r="M528" s="1">
        <v>2897</v>
      </c>
      <c r="N528" t="s">
        <v>34</v>
      </c>
      <c r="O528" s="5">
        <f>EDATE(O527,1)</f>
        <v>41091</v>
      </c>
      <c r="P528">
        <v>13</v>
      </c>
      <c r="Q528">
        <v>14</v>
      </c>
      <c r="R528" s="2">
        <f>IPMT((0.1/12),13,50,-10000,0,0)</f>
        <v>66.365752728120242</v>
      </c>
      <c r="S528">
        <v>50</v>
      </c>
      <c r="T528" s="2">
        <v>66.365752728120242</v>
      </c>
      <c r="U528" t="s">
        <v>29</v>
      </c>
      <c r="V528" t="s">
        <v>29</v>
      </c>
      <c r="W528">
        <v>0</v>
      </c>
      <c r="X528">
        <v>0</v>
      </c>
      <c r="Y528">
        <v>0</v>
      </c>
    </row>
    <row r="529" spans="1:25" x14ac:dyDescent="0.25">
      <c r="A529">
        <v>3</v>
      </c>
      <c r="B529" s="1">
        <v>1010</v>
      </c>
      <c r="C529" s="2" t="s">
        <v>36</v>
      </c>
      <c r="D529" s="2">
        <v>100000</v>
      </c>
      <c r="E529" s="2">
        <v>77600</v>
      </c>
      <c r="F529" s="1">
        <v>50</v>
      </c>
      <c r="G529" s="1">
        <v>14</v>
      </c>
      <c r="H529" s="2" t="s">
        <v>26</v>
      </c>
      <c r="J529" s="2" t="s">
        <v>26</v>
      </c>
      <c r="K529" s="2">
        <v>10000</v>
      </c>
      <c r="L529" s="2" t="s">
        <v>26</v>
      </c>
      <c r="M529" s="1">
        <v>2897</v>
      </c>
      <c r="N529" t="s">
        <v>34</v>
      </c>
      <c r="O529" s="5">
        <f>EDATE(O528,1)</f>
        <v>41122</v>
      </c>
      <c r="P529">
        <v>14</v>
      </c>
      <c r="Q529">
        <v>15</v>
      </c>
      <c r="R529" s="2">
        <f>IPMT((0.1/12),14,50,-10000,0,0)</f>
        <v>64.874032825066237</v>
      </c>
      <c r="S529">
        <v>50</v>
      </c>
      <c r="T529" s="2">
        <v>64.874032825066237</v>
      </c>
      <c r="U529" t="s">
        <v>29</v>
      </c>
      <c r="V529" t="s">
        <v>29</v>
      </c>
      <c r="W529">
        <v>0</v>
      </c>
      <c r="X529">
        <v>0</v>
      </c>
      <c r="Y529">
        <v>0</v>
      </c>
    </row>
    <row r="530" spans="1:25" x14ac:dyDescent="0.25">
      <c r="A530">
        <v>3</v>
      </c>
      <c r="B530" s="1">
        <v>1010</v>
      </c>
      <c r="C530" s="2" t="s">
        <v>36</v>
      </c>
      <c r="D530" s="2">
        <v>100000</v>
      </c>
      <c r="E530" s="2">
        <v>76000</v>
      </c>
      <c r="F530" s="1">
        <v>50</v>
      </c>
      <c r="G530" s="1">
        <v>15</v>
      </c>
      <c r="H530" s="2" t="s">
        <v>26</v>
      </c>
      <c r="J530" s="2" t="s">
        <v>26</v>
      </c>
      <c r="K530" s="2">
        <v>10000</v>
      </c>
      <c r="L530" s="2" t="s">
        <v>26</v>
      </c>
      <c r="M530" s="1">
        <v>2897</v>
      </c>
      <c r="N530" t="s">
        <v>34</v>
      </c>
      <c r="O530" s="5">
        <f>EDATE(O529,1)</f>
        <v>41153</v>
      </c>
      <c r="P530">
        <v>15</v>
      </c>
      <c r="Q530">
        <v>16</v>
      </c>
      <c r="R530" s="2">
        <f>IPMT((0.1/12),15,50,-10000,0,0)</f>
        <v>63.369881922820106</v>
      </c>
      <c r="S530">
        <v>50</v>
      </c>
      <c r="T530" s="2">
        <v>63.369881922820106</v>
      </c>
      <c r="U530" t="s">
        <v>29</v>
      </c>
      <c r="V530" t="s">
        <v>29</v>
      </c>
      <c r="W530">
        <v>0</v>
      </c>
      <c r="X530">
        <v>0</v>
      </c>
      <c r="Y530">
        <v>0</v>
      </c>
    </row>
    <row r="531" spans="1:25" x14ac:dyDescent="0.25">
      <c r="A531">
        <v>3</v>
      </c>
      <c r="B531" s="1">
        <v>1010</v>
      </c>
      <c r="C531" s="2" t="s">
        <v>36</v>
      </c>
      <c r="D531" s="2">
        <v>100000</v>
      </c>
      <c r="E531" s="2">
        <v>74400</v>
      </c>
      <c r="F531" s="1">
        <v>50</v>
      </c>
      <c r="G531" s="1">
        <v>16</v>
      </c>
      <c r="H531" s="2" t="s">
        <v>26</v>
      </c>
      <c r="J531" s="2" t="s">
        <v>26</v>
      </c>
      <c r="K531" s="2">
        <v>10000</v>
      </c>
      <c r="L531" s="2" t="s">
        <v>26</v>
      </c>
      <c r="M531" s="1">
        <v>2897</v>
      </c>
      <c r="N531" t="s">
        <v>34</v>
      </c>
      <c r="O531" s="5">
        <f>EDATE(O530,1)</f>
        <v>41183</v>
      </c>
      <c r="P531">
        <v>16</v>
      </c>
      <c r="Q531">
        <v>17</v>
      </c>
      <c r="R531" s="2">
        <f>IPMT((0.1/12),16,50,-10000,0,0)</f>
        <v>61.853196429721926</v>
      </c>
      <c r="S531">
        <v>50</v>
      </c>
      <c r="T531" s="2">
        <v>61.853196429721926</v>
      </c>
      <c r="U531" t="s">
        <v>29</v>
      </c>
      <c r="V531" t="s">
        <v>29</v>
      </c>
      <c r="W531">
        <v>0</v>
      </c>
      <c r="X531">
        <v>0</v>
      </c>
      <c r="Y531">
        <v>0</v>
      </c>
    </row>
    <row r="532" spans="1:25" x14ac:dyDescent="0.25">
      <c r="A532">
        <v>3</v>
      </c>
      <c r="B532" s="1">
        <v>1010</v>
      </c>
      <c r="C532" s="2" t="s">
        <v>36</v>
      </c>
      <c r="D532" s="2">
        <v>100000</v>
      </c>
      <c r="E532" s="2">
        <v>72800</v>
      </c>
      <c r="F532" s="1">
        <v>50</v>
      </c>
      <c r="G532" s="1">
        <v>17</v>
      </c>
      <c r="H532" s="2" t="s">
        <v>26</v>
      </c>
      <c r="J532" s="2" t="s">
        <v>26</v>
      </c>
      <c r="K532" s="2">
        <v>10000</v>
      </c>
      <c r="L532" s="2" t="s">
        <v>26</v>
      </c>
      <c r="M532" s="1">
        <v>2897</v>
      </c>
      <c r="N532" t="s">
        <v>34</v>
      </c>
      <c r="O532" s="5">
        <f>EDATE(O531,1)</f>
        <v>41214</v>
      </c>
      <c r="P532">
        <v>17</v>
      </c>
      <c r="Q532">
        <v>18</v>
      </c>
      <c r="R532" s="2">
        <f>IPMT((0.1/12),17,50,-10000,0,0)</f>
        <v>60.323871890847926</v>
      </c>
      <c r="S532">
        <v>50</v>
      </c>
      <c r="T532" s="2">
        <v>60.323871890847926</v>
      </c>
      <c r="U532" t="s">
        <v>29</v>
      </c>
      <c r="V532" t="s">
        <v>29</v>
      </c>
      <c r="W532">
        <v>0</v>
      </c>
      <c r="X532">
        <v>0</v>
      </c>
      <c r="Y532">
        <v>0</v>
      </c>
    </row>
    <row r="533" spans="1:25" x14ac:dyDescent="0.25">
      <c r="A533">
        <v>3</v>
      </c>
      <c r="B533" s="1">
        <v>1010</v>
      </c>
      <c r="C533" s="2" t="s">
        <v>36</v>
      </c>
      <c r="D533" s="2">
        <v>100000</v>
      </c>
      <c r="E533" s="2">
        <v>71200</v>
      </c>
      <c r="F533" s="1">
        <v>50</v>
      </c>
      <c r="G533" s="1">
        <v>18</v>
      </c>
      <c r="H533" s="2" t="s">
        <v>26</v>
      </c>
      <c r="J533" s="2" t="s">
        <v>26</v>
      </c>
      <c r="K533" s="2">
        <v>10000</v>
      </c>
      <c r="L533" s="2" t="s">
        <v>26</v>
      </c>
      <c r="M533" s="1">
        <v>2897</v>
      </c>
      <c r="N533" t="s">
        <v>34</v>
      </c>
      <c r="O533" s="5">
        <f>EDATE(O532,1)</f>
        <v>41244</v>
      </c>
      <c r="P533">
        <v>18</v>
      </c>
      <c r="Q533">
        <v>19</v>
      </c>
      <c r="R533" s="2">
        <f>IPMT((0.1/12),18,50,-10000,0,0)</f>
        <v>58.781802980816629</v>
      </c>
      <c r="S533">
        <v>50</v>
      </c>
      <c r="T533" s="2">
        <v>58.781802980816629</v>
      </c>
      <c r="U533" t="s">
        <v>29</v>
      </c>
      <c r="V533" t="s">
        <v>29</v>
      </c>
      <c r="W533">
        <v>0</v>
      </c>
      <c r="X533">
        <v>0</v>
      </c>
      <c r="Y533">
        <v>0</v>
      </c>
    </row>
    <row r="534" spans="1:25" x14ac:dyDescent="0.25">
      <c r="A534">
        <v>3</v>
      </c>
      <c r="B534" s="1">
        <v>1010</v>
      </c>
      <c r="C534" s="2" t="s">
        <v>36</v>
      </c>
      <c r="D534" s="2">
        <v>100000</v>
      </c>
      <c r="E534" s="2">
        <v>69600</v>
      </c>
      <c r="F534" s="1">
        <v>50</v>
      </c>
      <c r="G534" s="1">
        <v>19</v>
      </c>
      <c r="H534" s="2" t="s">
        <v>26</v>
      </c>
      <c r="J534" s="2" t="s">
        <v>26</v>
      </c>
      <c r="K534" s="2">
        <v>10000</v>
      </c>
      <c r="L534" s="2" t="s">
        <v>26</v>
      </c>
      <c r="M534" s="1">
        <v>2897</v>
      </c>
      <c r="N534" t="s">
        <v>34</v>
      </c>
      <c r="O534" s="5">
        <f>EDATE(O533,1)</f>
        <v>41275</v>
      </c>
      <c r="P534">
        <v>19</v>
      </c>
      <c r="Q534">
        <v>20</v>
      </c>
      <c r="R534" s="2">
        <f>IPMT((0.1/12),19,50,-10000,0,0)</f>
        <v>57.226883496535095</v>
      </c>
      <c r="S534">
        <v>50</v>
      </c>
      <c r="T534" s="2">
        <v>57.226883496535095</v>
      </c>
      <c r="U534" t="s">
        <v>29</v>
      </c>
      <c r="V534" t="s">
        <v>29</v>
      </c>
      <c r="W534">
        <v>0</v>
      </c>
      <c r="X534">
        <v>0</v>
      </c>
      <c r="Y534">
        <v>0</v>
      </c>
    </row>
    <row r="535" spans="1:25" x14ac:dyDescent="0.25">
      <c r="A535">
        <v>3</v>
      </c>
      <c r="B535" s="1">
        <v>1010</v>
      </c>
      <c r="C535" s="2" t="s">
        <v>36</v>
      </c>
      <c r="D535" s="2">
        <v>100000</v>
      </c>
      <c r="E535" s="2">
        <v>68000</v>
      </c>
      <c r="F535" s="1">
        <v>50</v>
      </c>
      <c r="G535" s="1">
        <v>20</v>
      </c>
      <c r="H535" s="2" t="s">
        <v>26</v>
      </c>
      <c r="J535" s="2" t="s">
        <v>26</v>
      </c>
      <c r="K535" s="2">
        <v>10000</v>
      </c>
      <c r="L535" s="2" t="s">
        <v>26</v>
      </c>
      <c r="M535" s="1">
        <v>2897</v>
      </c>
      <c r="N535" t="s">
        <v>34</v>
      </c>
      <c r="O535" s="5">
        <f>EDATE(O534,1)</f>
        <v>41306</v>
      </c>
      <c r="P535">
        <v>20</v>
      </c>
      <c r="Q535">
        <v>21</v>
      </c>
      <c r="R535" s="2">
        <f>IPMT((0.1/12),20,50,-10000,0,0)</f>
        <v>55.65900634988455</v>
      </c>
      <c r="S535">
        <v>50</v>
      </c>
      <c r="T535" s="2">
        <v>55.65900634988455</v>
      </c>
      <c r="U535" t="s">
        <v>29</v>
      </c>
      <c r="V535" t="s">
        <v>29</v>
      </c>
      <c r="W535">
        <v>0</v>
      </c>
      <c r="X535">
        <v>0</v>
      </c>
      <c r="Y535">
        <v>0</v>
      </c>
    </row>
    <row r="536" spans="1:25" x14ac:dyDescent="0.25">
      <c r="A536">
        <v>3</v>
      </c>
      <c r="B536" s="1">
        <v>1010</v>
      </c>
      <c r="C536" s="2" t="s">
        <v>36</v>
      </c>
      <c r="D536" s="2">
        <v>100000</v>
      </c>
      <c r="E536" s="2">
        <v>66400</v>
      </c>
      <c r="F536" s="1">
        <v>50</v>
      </c>
      <c r="G536" s="1">
        <v>21</v>
      </c>
      <c r="H536" s="2" t="s">
        <v>26</v>
      </c>
      <c r="J536" s="2" t="s">
        <v>26</v>
      </c>
      <c r="K536" s="2">
        <v>10000</v>
      </c>
      <c r="L536" s="2" t="s">
        <v>26</v>
      </c>
      <c r="M536" s="1">
        <v>2897</v>
      </c>
      <c r="N536" t="s">
        <v>34</v>
      </c>
      <c r="O536" s="5">
        <f>EDATE(O535,1)</f>
        <v>41334</v>
      </c>
      <c r="P536">
        <v>21</v>
      </c>
      <c r="Q536">
        <v>22</v>
      </c>
      <c r="R536" s="2">
        <f>IPMT((0.1/12),21,50,-10000,0,0)</f>
        <v>54.078063560345221</v>
      </c>
      <c r="S536">
        <v>50</v>
      </c>
      <c r="T536" s="2">
        <v>54.078063560345221</v>
      </c>
      <c r="U536" t="s">
        <v>29</v>
      </c>
      <c r="V536" t="s">
        <v>29</v>
      </c>
      <c r="W536">
        <v>0</v>
      </c>
      <c r="X536">
        <v>0</v>
      </c>
      <c r="Y536">
        <v>0</v>
      </c>
    </row>
    <row r="537" spans="1:25" x14ac:dyDescent="0.25">
      <c r="A537">
        <v>3</v>
      </c>
      <c r="B537" s="1">
        <v>1010</v>
      </c>
      <c r="C537" s="2" t="s">
        <v>36</v>
      </c>
      <c r="D537" s="2">
        <v>100000</v>
      </c>
      <c r="E537" s="2">
        <v>64800</v>
      </c>
      <c r="F537" s="1">
        <v>50</v>
      </c>
      <c r="G537" s="1">
        <v>22</v>
      </c>
      <c r="H537" s="2" t="s">
        <v>26</v>
      </c>
      <c r="J537" s="2" t="s">
        <v>26</v>
      </c>
      <c r="K537" s="2">
        <v>10000</v>
      </c>
      <c r="L537" s="2" t="s">
        <v>26</v>
      </c>
      <c r="M537" s="1">
        <v>2897</v>
      </c>
      <c r="N537" t="s">
        <v>34</v>
      </c>
      <c r="O537" s="5">
        <f>EDATE(O536,1)</f>
        <v>41365</v>
      </c>
      <c r="P537">
        <v>22</v>
      </c>
      <c r="Q537">
        <v>23</v>
      </c>
      <c r="R537" s="2">
        <f>IPMT((0.1/12),22,50,-10000,0,0)</f>
        <v>52.483946247559764</v>
      </c>
      <c r="S537">
        <v>50</v>
      </c>
      <c r="T537" s="2">
        <v>52.483946247559764</v>
      </c>
      <c r="U537" t="s">
        <v>29</v>
      </c>
      <c r="V537" t="s">
        <v>29</v>
      </c>
      <c r="W537">
        <v>0</v>
      </c>
      <c r="X537">
        <v>0</v>
      </c>
      <c r="Y537">
        <v>0</v>
      </c>
    </row>
    <row r="538" spans="1:25" x14ac:dyDescent="0.25">
      <c r="A538">
        <v>3</v>
      </c>
      <c r="B538" s="1">
        <v>1010</v>
      </c>
      <c r="C538" s="2" t="s">
        <v>36</v>
      </c>
      <c r="D538" s="2">
        <v>100000</v>
      </c>
      <c r="E538" s="2">
        <v>63200</v>
      </c>
      <c r="F538" s="1">
        <v>50</v>
      </c>
      <c r="G538" s="1">
        <v>23</v>
      </c>
      <c r="H538" s="2" t="s">
        <v>26</v>
      </c>
      <c r="J538" s="2" t="s">
        <v>26</v>
      </c>
      <c r="K538" s="2">
        <v>10000</v>
      </c>
      <c r="L538" s="2" t="s">
        <v>26</v>
      </c>
      <c r="M538" s="1">
        <v>2897</v>
      </c>
      <c r="N538" t="s">
        <v>34</v>
      </c>
      <c r="O538" s="5">
        <f>EDATE(O537,1)</f>
        <v>41395</v>
      </c>
      <c r="P538">
        <v>23</v>
      </c>
      <c r="Q538">
        <v>24</v>
      </c>
      <c r="R538" s="2">
        <f>IPMT((0.1/12),23,50,-10000,0,0)</f>
        <v>50.876544623834413</v>
      </c>
      <c r="S538">
        <v>50</v>
      </c>
      <c r="T538" s="2">
        <v>50.876544623834413</v>
      </c>
      <c r="U538" t="s">
        <v>29</v>
      </c>
      <c r="V538" t="s">
        <v>29</v>
      </c>
      <c r="W538">
        <v>0</v>
      </c>
      <c r="X538">
        <v>0</v>
      </c>
      <c r="Y538">
        <v>0</v>
      </c>
    </row>
    <row r="539" spans="1:25" x14ac:dyDescent="0.25">
      <c r="A539">
        <v>3</v>
      </c>
      <c r="B539" s="1">
        <v>1010</v>
      </c>
      <c r="C539" s="2" t="s">
        <v>36</v>
      </c>
      <c r="D539" s="2">
        <v>100000</v>
      </c>
      <c r="E539" s="2">
        <v>61600</v>
      </c>
      <c r="F539" s="1">
        <v>50</v>
      </c>
      <c r="G539" s="1">
        <v>24</v>
      </c>
      <c r="H539" s="2" t="s">
        <v>26</v>
      </c>
      <c r="J539" s="2" t="s">
        <v>26</v>
      </c>
      <c r="K539" s="2">
        <v>10000</v>
      </c>
      <c r="L539" s="2" t="s">
        <v>26</v>
      </c>
      <c r="M539" s="1">
        <v>2897</v>
      </c>
      <c r="N539" t="s">
        <v>34</v>
      </c>
      <c r="O539" s="5">
        <f>EDATE(O538,1)</f>
        <v>41426</v>
      </c>
      <c r="P539">
        <v>24</v>
      </c>
      <c r="Q539">
        <v>25</v>
      </c>
      <c r="R539" s="2">
        <f>IPMT((0.1/12),24,50,-10000,0,0)</f>
        <v>49.255747986578022</v>
      </c>
      <c r="S539">
        <v>50</v>
      </c>
      <c r="T539" s="2">
        <v>49.255747986578022</v>
      </c>
      <c r="U539" t="s">
        <v>29</v>
      </c>
      <c r="V539" t="s">
        <v>29</v>
      </c>
      <c r="W539">
        <v>0</v>
      </c>
      <c r="X539">
        <v>0</v>
      </c>
      <c r="Y539">
        <v>0</v>
      </c>
    </row>
    <row r="540" spans="1:25" x14ac:dyDescent="0.25">
      <c r="A540">
        <v>3</v>
      </c>
      <c r="B540" s="1">
        <v>1010</v>
      </c>
      <c r="C540" s="2" t="s">
        <v>36</v>
      </c>
      <c r="D540" s="2">
        <v>100000</v>
      </c>
      <c r="E540" s="2">
        <v>60000</v>
      </c>
      <c r="F540" s="1">
        <v>50</v>
      </c>
      <c r="G540" s="1">
        <v>25</v>
      </c>
      <c r="H540" s="2" t="s">
        <v>26</v>
      </c>
      <c r="J540" s="2" t="s">
        <v>26</v>
      </c>
      <c r="K540" s="2">
        <v>10000</v>
      </c>
      <c r="L540" s="2" t="s">
        <v>26</v>
      </c>
      <c r="M540" s="1">
        <v>2897</v>
      </c>
      <c r="N540" t="s">
        <v>34</v>
      </c>
      <c r="O540" s="5">
        <f>EDATE(O539,1)</f>
        <v>41456</v>
      </c>
      <c r="P540">
        <v>25</v>
      </c>
      <c r="Q540">
        <v>26</v>
      </c>
      <c r="R540" s="2">
        <f>IPMT((0.1/12),25,50,-10000,0,0)</f>
        <v>47.621444710677821</v>
      </c>
      <c r="S540">
        <v>50</v>
      </c>
      <c r="T540" s="2">
        <v>47.621444710677821</v>
      </c>
      <c r="U540" t="s">
        <v>29</v>
      </c>
      <c r="V540" t="s">
        <v>29</v>
      </c>
      <c r="W540">
        <v>0</v>
      </c>
      <c r="X540">
        <v>0</v>
      </c>
      <c r="Y540">
        <v>0</v>
      </c>
    </row>
    <row r="541" spans="1:25" x14ac:dyDescent="0.25">
      <c r="A541">
        <v>3</v>
      </c>
      <c r="B541" s="1">
        <v>1010</v>
      </c>
      <c r="C541" s="2" t="s">
        <v>36</v>
      </c>
      <c r="D541" s="2">
        <v>100000</v>
      </c>
      <c r="E541" s="2">
        <v>58400</v>
      </c>
      <c r="F541" s="1">
        <v>50</v>
      </c>
      <c r="G541" s="1">
        <v>26</v>
      </c>
      <c r="H541" s="2" t="s">
        <v>26</v>
      </c>
      <c r="J541" s="2" t="s">
        <v>26</v>
      </c>
      <c r="K541" s="2">
        <v>10000</v>
      </c>
      <c r="L541" s="2" t="s">
        <v>26</v>
      </c>
      <c r="M541" s="1">
        <v>2897</v>
      </c>
      <c r="N541" t="s">
        <v>34</v>
      </c>
      <c r="O541" s="5">
        <f>EDATE(O540,1)</f>
        <v>41487</v>
      </c>
      <c r="P541">
        <v>26</v>
      </c>
      <c r="Q541">
        <v>27</v>
      </c>
      <c r="R541" s="2">
        <f>IPMT((0.1/12),26,50,-10000,0,0)</f>
        <v>45.973522240811789</v>
      </c>
      <c r="S541">
        <v>50</v>
      </c>
      <c r="T541" s="2">
        <v>45.973522240811789</v>
      </c>
      <c r="U541" t="s">
        <v>29</v>
      </c>
      <c r="V541" t="s">
        <v>29</v>
      </c>
      <c r="W541">
        <v>0</v>
      </c>
      <c r="X541">
        <v>0</v>
      </c>
      <c r="Y541">
        <v>0</v>
      </c>
    </row>
    <row r="542" spans="1:25" x14ac:dyDescent="0.25">
      <c r="A542">
        <v>3</v>
      </c>
      <c r="B542" s="1">
        <v>1010</v>
      </c>
      <c r="C542" s="2" t="s">
        <v>36</v>
      </c>
      <c r="D542" s="2">
        <v>100000</v>
      </c>
      <c r="E542" s="2">
        <v>56800</v>
      </c>
      <c r="F542" s="1">
        <v>50</v>
      </c>
      <c r="G542" s="1">
        <v>27</v>
      </c>
      <c r="H542" s="2" t="s">
        <v>26</v>
      </c>
      <c r="J542" s="2" t="s">
        <v>26</v>
      </c>
      <c r="K542" s="2">
        <v>10000</v>
      </c>
      <c r="L542" s="2" t="s">
        <v>26</v>
      </c>
      <c r="M542" s="1">
        <v>2897</v>
      </c>
      <c r="N542" t="s">
        <v>34</v>
      </c>
      <c r="O542" s="5">
        <f>EDATE(O541,1)</f>
        <v>41518</v>
      </c>
      <c r="P542">
        <v>27</v>
      </c>
      <c r="Q542">
        <v>28</v>
      </c>
      <c r="R542" s="2">
        <f>IPMT((0.1/12),27,50,-10000,0,0)</f>
        <v>44.311867083696868</v>
      </c>
      <c r="S542">
        <v>50</v>
      </c>
      <c r="T542" s="2">
        <v>44.311867083696868</v>
      </c>
      <c r="U542" t="s">
        <v>29</v>
      </c>
      <c r="V542" t="s">
        <v>29</v>
      </c>
      <c r="W542">
        <v>0</v>
      </c>
      <c r="X542">
        <v>0</v>
      </c>
      <c r="Y542">
        <v>0</v>
      </c>
    </row>
    <row r="543" spans="1:25" x14ac:dyDescent="0.25">
      <c r="A543">
        <v>3</v>
      </c>
      <c r="B543" s="1">
        <v>1010</v>
      </c>
      <c r="C543" s="2" t="s">
        <v>36</v>
      </c>
      <c r="D543" s="2">
        <v>100000</v>
      </c>
      <c r="E543" s="2">
        <v>55200</v>
      </c>
      <c r="F543" s="1">
        <v>50</v>
      </c>
      <c r="G543" s="1">
        <v>28</v>
      </c>
      <c r="H543" s="2" t="s">
        <v>26</v>
      </c>
      <c r="J543" s="2" t="s">
        <v>26</v>
      </c>
      <c r="K543" s="2">
        <v>10000</v>
      </c>
      <c r="L543" s="2" t="s">
        <v>26</v>
      </c>
      <c r="M543" s="1">
        <v>2897</v>
      </c>
      <c r="N543" t="s">
        <v>34</v>
      </c>
      <c r="O543" s="5">
        <f>EDATE(O542,1)</f>
        <v>41548</v>
      </c>
      <c r="P543">
        <v>28</v>
      </c>
      <c r="Q543">
        <v>29</v>
      </c>
      <c r="R543" s="2">
        <f>IPMT((0.1/12),28,50,-10000,0,0)</f>
        <v>42.636364800272666</v>
      </c>
      <c r="S543">
        <v>50</v>
      </c>
      <c r="T543" s="2">
        <v>42.636364800272666</v>
      </c>
      <c r="U543" t="s">
        <v>29</v>
      </c>
      <c r="V543" t="s">
        <v>29</v>
      </c>
      <c r="W543">
        <v>0</v>
      </c>
      <c r="X543">
        <v>0</v>
      </c>
      <c r="Y543">
        <v>0</v>
      </c>
    </row>
    <row r="544" spans="1:25" x14ac:dyDescent="0.25">
      <c r="A544">
        <v>3</v>
      </c>
      <c r="B544" s="1">
        <v>1010</v>
      </c>
      <c r="C544" s="2" t="s">
        <v>36</v>
      </c>
      <c r="D544" s="2">
        <v>100000</v>
      </c>
      <c r="E544" s="2">
        <v>53600</v>
      </c>
      <c r="F544" s="1">
        <v>50</v>
      </c>
      <c r="G544" s="1">
        <v>29</v>
      </c>
      <c r="H544" s="2" t="s">
        <v>26</v>
      </c>
      <c r="J544" s="2" t="s">
        <v>26</v>
      </c>
      <c r="K544" s="2">
        <v>10000</v>
      </c>
      <c r="L544" s="2" t="s">
        <v>26</v>
      </c>
      <c r="M544" s="1">
        <v>2897</v>
      </c>
      <c r="N544" t="s">
        <v>34</v>
      </c>
      <c r="O544" s="5">
        <f>EDATE(O543,1)</f>
        <v>41579</v>
      </c>
      <c r="P544">
        <v>29</v>
      </c>
      <c r="Q544">
        <v>30</v>
      </c>
      <c r="R544" s="2">
        <f>IPMT((0.1/12),29,50,-10000,0,0)</f>
        <v>40.946899997819926</v>
      </c>
      <c r="S544">
        <v>50</v>
      </c>
      <c r="T544" s="2">
        <v>40.946899997819926</v>
      </c>
      <c r="U544" t="s">
        <v>29</v>
      </c>
      <c r="V544" t="s">
        <v>29</v>
      </c>
      <c r="W544">
        <v>0</v>
      </c>
      <c r="X544">
        <v>0</v>
      </c>
      <c r="Y544">
        <v>0</v>
      </c>
    </row>
    <row r="545" spans="1:25" x14ac:dyDescent="0.25">
      <c r="A545">
        <v>3</v>
      </c>
      <c r="B545" s="1">
        <v>1010</v>
      </c>
      <c r="C545" s="2" t="s">
        <v>36</v>
      </c>
      <c r="D545" s="2">
        <v>100000</v>
      </c>
      <c r="E545" s="2">
        <v>52000</v>
      </c>
      <c r="F545" s="1">
        <v>50</v>
      </c>
      <c r="G545" s="1">
        <v>30</v>
      </c>
      <c r="H545" s="2" t="s">
        <v>26</v>
      </c>
      <c r="J545" s="2" t="s">
        <v>26</v>
      </c>
      <c r="K545" s="2">
        <v>10000</v>
      </c>
      <c r="L545" s="2" t="s">
        <v>26</v>
      </c>
      <c r="M545" s="1">
        <v>2897</v>
      </c>
      <c r="N545" t="s">
        <v>34</v>
      </c>
      <c r="O545" s="5">
        <f>EDATE(O544,1)</f>
        <v>41609</v>
      </c>
      <c r="P545">
        <v>30</v>
      </c>
      <c r="Q545">
        <v>31</v>
      </c>
      <c r="R545" s="2">
        <f>IPMT((0.1/12),30,50,-10000,0,0)</f>
        <v>39.243356322013405</v>
      </c>
      <c r="S545">
        <v>50</v>
      </c>
      <c r="T545" s="2">
        <v>39.243356322013405</v>
      </c>
      <c r="U545" t="s">
        <v>29</v>
      </c>
      <c r="V545" t="s">
        <v>29</v>
      </c>
      <c r="W545">
        <v>0</v>
      </c>
      <c r="X545">
        <v>0</v>
      </c>
      <c r="Y545">
        <v>0</v>
      </c>
    </row>
    <row r="546" spans="1:25" x14ac:dyDescent="0.25">
      <c r="A546">
        <v>3</v>
      </c>
      <c r="B546" s="1">
        <v>1010</v>
      </c>
      <c r="C546" s="2" t="s">
        <v>36</v>
      </c>
      <c r="D546" s="2">
        <v>100000</v>
      </c>
      <c r="E546" s="2">
        <v>50400</v>
      </c>
      <c r="F546" s="1">
        <v>50</v>
      </c>
      <c r="G546" s="1">
        <v>31</v>
      </c>
      <c r="H546" s="2" t="s">
        <v>26</v>
      </c>
      <c r="J546" s="2" t="s">
        <v>26</v>
      </c>
      <c r="K546" s="2">
        <v>10000</v>
      </c>
      <c r="L546" s="2" t="s">
        <v>26</v>
      </c>
      <c r="M546" s="1">
        <v>2897</v>
      </c>
      <c r="N546" t="s">
        <v>34</v>
      </c>
      <c r="O546" s="5">
        <f>EDATE(O545,1)</f>
        <v>41640</v>
      </c>
      <c r="P546">
        <v>31</v>
      </c>
      <c r="Q546">
        <v>32</v>
      </c>
      <c r="R546" s="2">
        <f>IPMT((0.1/12),31,50,-10000,0,0)</f>
        <v>37.525616448908508</v>
      </c>
      <c r="S546">
        <v>50</v>
      </c>
      <c r="T546" s="2">
        <v>37.525616448908508</v>
      </c>
      <c r="U546" t="s">
        <v>29</v>
      </c>
      <c r="V546" t="s">
        <v>29</v>
      </c>
      <c r="W546">
        <v>0</v>
      </c>
      <c r="X546">
        <v>0</v>
      </c>
      <c r="Y546">
        <v>0</v>
      </c>
    </row>
    <row r="547" spans="1:25" x14ac:dyDescent="0.25">
      <c r="A547">
        <v>3</v>
      </c>
      <c r="B547" s="1">
        <v>1010</v>
      </c>
      <c r="C547" s="2" t="s">
        <v>36</v>
      </c>
      <c r="D547" s="2">
        <v>100000</v>
      </c>
      <c r="E547" s="2">
        <v>48800</v>
      </c>
      <c r="F547" s="1">
        <v>50</v>
      </c>
      <c r="G547" s="1">
        <v>32</v>
      </c>
      <c r="H547" s="2" t="s">
        <v>26</v>
      </c>
      <c r="J547" s="2" t="s">
        <v>26</v>
      </c>
      <c r="K547" s="2">
        <v>10000</v>
      </c>
      <c r="L547" s="2" t="s">
        <v>26</v>
      </c>
      <c r="M547" s="1">
        <v>2897</v>
      </c>
      <c r="N547" t="s">
        <v>34</v>
      </c>
      <c r="O547" s="5">
        <f>EDATE(O546,1)</f>
        <v>41671</v>
      </c>
      <c r="P547">
        <v>32</v>
      </c>
      <c r="Q547">
        <v>33</v>
      </c>
      <c r="R547" s="2">
        <f>IPMT((0.1/12),32,50,-10000,0,0)</f>
        <v>35.793562076861058</v>
      </c>
      <c r="S547">
        <v>50</v>
      </c>
      <c r="T547" s="2">
        <v>35.793562076861058</v>
      </c>
      <c r="U547" t="s">
        <v>29</v>
      </c>
      <c r="V547" t="s">
        <v>29</v>
      </c>
      <c r="W547">
        <v>0</v>
      </c>
      <c r="X547">
        <v>0</v>
      </c>
      <c r="Y547">
        <v>0</v>
      </c>
    </row>
    <row r="548" spans="1:25" x14ac:dyDescent="0.25">
      <c r="A548">
        <v>3</v>
      </c>
      <c r="B548" s="1">
        <v>1010</v>
      </c>
      <c r="C548" s="2" t="s">
        <v>36</v>
      </c>
      <c r="D548" s="2">
        <v>100000</v>
      </c>
      <c r="E548" s="2">
        <v>47200</v>
      </c>
      <c r="F548" s="1">
        <v>50</v>
      </c>
      <c r="G548" s="1">
        <v>33</v>
      </c>
      <c r="H548" s="2" t="s">
        <v>26</v>
      </c>
      <c r="J548" s="2" t="s">
        <v>26</v>
      </c>
      <c r="K548" s="2">
        <v>10000</v>
      </c>
      <c r="L548" s="2" t="s">
        <v>26</v>
      </c>
      <c r="M548" s="1">
        <v>2897</v>
      </c>
      <c r="N548" t="s">
        <v>34</v>
      </c>
      <c r="O548" s="5">
        <f>EDATE(O547,1)</f>
        <v>41699</v>
      </c>
      <c r="P548">
        <v>33</v>
      </c>
      <c r="Q548">
        <v>34</v>
      </c>
      <c r="R548" s="2">
        <f>IPMT((0.1/12),33,50,-10000,0,0)</f>
        <v>34.047073918379887</v>
      </c>
      <c r="S548">
        <v>50</v>
      </c>
      <c r="T548" s="2">
        <v>34.047073918379887</v>
      </c>
      <c r="U548" t="s">
        <v>29</v>
      </c>
      <c r="V548" t="s">
        <v>29</v>
      </c>
      <c r="W548">
        <v>0</v>
      </c>
      <c r="X548">
        <v>0</v>
      </c>
      <c r="Y548">
        <v>0</v>
      </c>
    </row>
    <row r="549" spans="1:25" x14ac:dyDescent="0.25">
      <c r="A549">
        <v>3</v>
      </c>
      <c r="B549" s="1">
        <v>1010</v>
      </c>
      <c r="C549" s="2" t="s">
        <v>36</v>
      </c>
      <c r="D549" s="2">
        <v>100000</v>
      </c>
      <c r="E549" s="2">
        <v>45600</v>
      </c>
      <c r="F549" s="1">
        <v>50</v>
      </c>
      <c r="G549" s="1">
        <v>34</v>
      </c>
      <c r="H549" s="2" t="s">
        <v>26</v>
      </c>
      <c r="J549" s="2" t="s">
        <v>26</v>
      </c>
      <c r="K549" s="2">
        <v>10000</v>
      </c>
      <c r="L549" s="2" t="s">
        <v>26</v>
      </c>
      <c r="M549" s="1">
        <v>2897</v>
      </c>
      <c r="N549" t="s">
        <v>34</v>
      </c>
      <c r="O549" s="5">
        <f>EDATE(O548,1)</f>
        <v>41730</v>
      </c>
      <c r="P549">
        <v>34</v>
      </c>
      <c r="Q549">
        <v>35</v>
      </c>
      <c r="R549" s="2">
        <f>IPMT((0.1/12),34,50,-10000,0,0)</f>
        <v>32.286031691911369</v>
      </c>
      <c r="S549">
        <v>50</v>
      </c>
      <c r="T549" s="2">
        <v>32.286031691911369</v>
      </c>
      <c r="U549" t="s">
        <v>29</v>
      </c>
      <c r="V549" t="s">
        <v>29</v>
      </c>
      <c r="W549">
        <v>0</v>
      </c>
      <c r="X549">
        <v>0</v>
      </c>
      <c r="Y549">
        <v>0</v>
      </c>
    </row>
    <row r="550" spans="1:25" x14ac:dyDescent="0.25">
      <c r="A550">
        <v>3</v>
      </c>
      <c r="B550" s="1">
        <v>1010</v>
      </c>
      <c r="C550" s="2" t="s">
        <v>36</v>
      </c>
      <c r="D550" s="2">
        <v>100000</v>
      </c>
      <c r="E550" s="2">
        <v>44000</v>
      </c>
      <c r="F550" s="1">
        <v>50</v>
      </c>
      <c r="G550" s="1">
        <v>35</v>
      </c>
      <c r="H550" s="2" t="s">
        <v>26</v>
      </c>
      <c r="J550" s="2" t="s">
        <v>26</v>
      </c>
      <c r="K550" s="2">
        <v>10000</v>
      </c>
      <c r="L550" s="2" t="s">
        <v>26</v>
      </c>
      <c r="M550" s="1">
        <v>2897</v>
      </c>
      <c r="N550" t="s">
        <v>34</v>
      </c>
      <c r="O550" s="5">
        <f>EDATE(O549,1)</f>
        <v>41760</v>
      </c>
      <c r="P550">
        <v>35</v>
      </c>
      <c r="Q550">
        <v>36</v>
      </c>
      <c r="R550" s="2">
        <f>IPMT((0.1/12),35,50,-10000,0,0)</f>
        <v>30.510314113555623</v>
      </c>
      <c r="S550">
        <v>50</v>
      </c>
      <c r="T550" s="2">
        <v>30.510314113555623</v>
      </c>
      <c r="U550" t="s">
        <v>29</v>
      </c>
      <c r="V550" t="s">
        <v>29</v>
      </c>
      <c r="W550">
        <v>0</v>
      </c>
      <c r="X550">
        <v>0</v>
      </c>
      <c r="Y550">
        <v>0</v>
      </c>
    </row>
    <row r="551" spans="1:25" x14ac:dyDescent="0.25">
      <c r="A551">
        <v>3</v>
      </c>
      <c r="B551" s="1">
        <v>1010</v>
      </c>
      <c r="C551" s="2" t="s">
        <v>36</v>
      </c>
      <c r="D551" s="2">
        <v>100000</v>
      </c>
      <c r="E551" s="2">
        <v>42400</v>
      </c>
      <c r="F551" s="1">
        <v>50</v>
      </c>
      <c r="G551" s="1">
        <v>36</v>
      </c>
      <c r="H551" s="2" t="s">
        <v>26</v>
      </c>
      <c r="J551" s="2" t="s">
        <v>26</v>
      </c>
      <c r="K551" s="2">
        <v>10000</v>
      </c>
      <c r="L551" s="2" t="s">
        <v>26</v>
      </c>
      <c r="M551" s="1">
        <v>2897</v>
      </c>
      <c r="N551" t="s">
        <v>34</v>
      </c>
      <c r="O551" s="5">
        <f>EDATE(O550,1)</f>
        <v>41791</v>
      </c>
      <c r="P551">
        <v>36</v>
      </c>
      <c r="Q551">
        <v>37</v>
      </c>
      <c r="R551" s="2">
        <f>IPMT((0.1/12),36,50,-10000,0,0)</f>
        <v>28.719798888713569</v>
      </c>
      <c r="S551">
        <v>50</v>
      </c>
      <c r="T551" s="2">
        <v>28.719798888713569</v>
      </c>
      <c r="U551" t="s">
        <v>29</v>
      </c>
      <c r="V551" t="s">
        <v>29</v>
      </c>
      <c r="W551">
        <v>0</v>
      </c>
      <c r="X551">
        <v>0</v>
      </c>
      <c r="Y551">
        <v>0</v>
      </c>
    </row>
    <row r="552" spans="1:25" x14ac:dyDescent="0.25">
      <c r="A552">
        <v>3</v>
      </c>
      <c r="B552" s="1">
        <v>1010</v>
      </c>
      <c r="C552" s="2" t="s">
        <v>36</v>
      </c>
      <c r="D552" s="2">
        <v>100000</v>
      </c>
      <c r="E552" s="2">
        <v>40800</v>
      </c>
      <c r="F552" s="1">
        <v>50</v>
      </c>
      <c r="G552" s="1">
        <v>37</v>
      </c>
      <c r="H552" s="2" t="s">
        <v>26</v>
      </c>
      <c r="J552" s="2" t="s">
        <v>26</v>
      </c>
      <c r="K552" s="2">
        <v>10000</v>
      </c>
      <c r="L552" s="2" t="s">
        <v>26</v>
      </c>
      <c r="M552" s="1">
        <v>2897</v>
      </c>
      <c r="N552" t="s">
        <v>34</v>
      </c>
      <c r="O552" s="5">
        <f>EDATE(O551,1)</f>
        <v>41821</v>
      </c>
      <c r="P552">
        <v>37</v>
      </c>
      <c r="Q552">
        <v>38</v>
      </c>
      <c r="R552" s="2">
        <f>IPMT((0.1/12),37,50,-10000,0,0)</f>
        <v>26.914362703664498</v>
      </c>
      <c r="S552">
        <v>50</v>
      </c>
      <c r="T552" s="2">
        <v>26.914362703664498</v>
      </c>
      <c r="U552" t="s">
        <v>29</v>
      </c>
      <c r="V552" t="s">
        <v>29</v>
      </c>
      <c r="W552">
        <v>0</v>
      </c>
      <c r="X552">
        <v>0</v>
      </c>
      <c r="Y552">
        <v>0</v>
      </c>
    </row>
    <row r="553" spans="1:25" x14ac:dyDescent="0.25">
      <c r="A553">
        <v>3</v>
      </c>
      <c r="B553" s="1">
        <v>1010</v>
      </c>
      <c r="C553" s="2" t="s">
        <v>36</v>
      </c>
      <c r="D553" s="2">
        <v>100000</v>
      </c>
      <c r="E553" s="2">
        <v>39200</v>
      </c>
      <c r="F553" s="1">
        <v>50</v>
      </c>
      <c r="G553" s="1">
        <v>38</v>
      </c>
      <c r="H553" s="2" t="s">
        <v>26</v>
      </c>
      <c r="J553" s="2" t="s">
        <v>26</v>
      </c>
      <c r="K553" s="2">
        <v>10000</v>
      </c>
      <c r="L553" s="2" t="s">
        <v>26</v>
      </c>
      <c r="M553" s="1">
        <v>2897</v>
      </c>
      <c r="N553" t="s">
        <v>34</v>
      </c>
      <c r="O553" s="5">
        <f>EDATE(O552,1)</f>
        <v>41852</v>
      </c>
      <c r="P553">
        <v>38</v>
      </c>
      <c r="Q553">
        <v>39</v>
      </c>
      <c r="R553" s="2">
        <f>IPMT((0.1/12),38,50,-10000,0,0)</f>
        <v>25.09388121707336</v>
      </c>
      <c r="S553">
        <v>50</v>
      </c>
      <c r="T553" s="2">
        <v>25.09388121707336</v>
      </c>
      <c r="U553" t="s">
        <v>29</v>
      </c>
      <c r="V553" t="s">
        <v>29</v>
      </c>
      <c r="W553">
        <v>0</v>
      </c>
      <c r="X553">
        <v>0</v>
      </c>
      <c r="Y553">
        <v>0</v>
      </c>
    </row>
    <row r="554" spans="1:25" x14ac:dyDescent="0.25">
      <c r="A554">
        <v>3</v>
      </c>
      <c r="B554" s="1">
        <v>1010</v>
      </c>
      <c r="C554" s="2" t="s">
        <v>36</v>
      </c>
      <c r="D554" s="2">
        <v>100000</v>
      </c>
      <c r="E554" s="2">
        <v>37600</v>
      </c>
      <c r="F554" s="1">
        <v>50</v>
      </c>
      <c r="G554" s="1">
        <v>39</v>
      </c>
      <c r="H554" s="2" t="s">
        <v>26</v>
      </c>
      <c r="J554" s="2" t="s">
        <v>26</v>
      </c>
      <c r="K554" s="2">
        <v>10000</v>
      </c>
      <c r="L554" s="2" t="s">
        <v>26</v>
      </c>
      <c r="M554" s="1">
        <v>2897</v>
      </c>
      <c r="N554" t="s">
        <v>34</v>
      </c>
      <c r="O554" s="5">
        <f>EDATE(O553,1)</f>
        <v>41883</v>
      </c>
      <c r="P554">
        <v>39</v>
      </c>
      <c r="Q554">
        <v>40</v>
      </c>
      <c r="R554" s="2">
        <f>IPMT((0.1/12),39,50,-10000,0,0)</f>
        <v>23.258229051427289</v>
      </c>
      <c r="S554">
        <v>50</v>
      </c>
      <c r="T554" s="2">
        <v>23.258229051427289</v>
      </c>
      <c r="U554" t="s">
        <v>29</v>
      </c>
      <c r="V554" t="s">
        <v>29</v>
      </c>
      <c r="W554">
        <v>0</v>
      </c>
      <c r="X554">
        <v>0</v>
      </c>
      <c r="Y554">
        <v>0</v>
      </c>
    </row>
    <row r="555" spans="1:25" x14ac:dyDescent="0.25">
      <c r="A555">
        <v>3</v>
      </c>
      <c r="B555" s="1">
        <v>1010</v>
      </c>
      <c r="C555" s="2" t="s">
        <v>36</v>
      </c>
      <c r="D555" s="2">
        <v>100000</v>
      </c>
      <c r="E555" s="2">
        <v>36000</v>
      </c>
      <c r="F555" s="1">
        <v>50</v>
      </c>
      <c r="G555" s="1">
        <v>40</v>
      </c>
      <c r="H555" s="2" t="s">
        <v>26</v>
      </c>
      <c r="J555" s="2" t="s">
        <v>26</v>
      </c>
      <c r="K555" s="2">
        <v>10000</v>
      </c>
      <c r="L555" s="2" t="s">
        <v>26</v>
      </c>
      <c r="M555" s="1">
        <v>2897</v>
      </c>
      <c r="N555" t="s">
        <v>34</v>
      </c>
      <c r="O555" s="5">
        <f>EDATE(O554,1)</f>
        <v>41913</v>
      </c>
      <c r="P555">
        <v>40</v>
      </c>
      <c r="Q555">
        <v>41</v>
      </c>
      <c r="R555" s="2">
        <f>IPMT((0.1/12),40,50,-10000,0,0)</f>
        <v>21.407279784400831</v>
      </c>
      <c r="S555">
        <v>50</v>
      </c>
      <c r="T555" s="2">
        <v>21.407279784400831</v>
      </c>
      <c r="U555" t="s">
        <v>29</v>
      </c>
      <c r="V555" t="s">
        <v>29</v>
      </c>
      <c r="W555">
        <v>0</v>
      </c>
      <c r="X555">
        <v>0</v>
      </c>
      <c r="Y555">
        <v>0</v>
      </c>
    </row>
    <row r="556" spans="1:25" x14ac:dyDescent="0.25">
      <c r="A556">
        <v>3</v>
      </c>
      <c r="B556" s="1">
        <v>1010</v>
      </c>
      <c r="C556" s="2" t="s">
        <v>36</v>
      </c>
      <c r="D556" s="2">
        <v>100000</v>
      </c>
      <c r="E556" s="2">
        <v>34400</v>
      </c>
      <c r="F556" s="1">
        <v>50</v>
      </c>
      <c r="G556" s="1">
        <v>41</v>
      </c>
      <c r="H556" s="2" t="s">
        <v>26</v>
      </c>
      <c r="J556" s="2" t="s">
        <v>26</v>
      </c>
      <c r="K556" s="2">
        <v>10000</v>
      </c>
      <c r="L556" s="2" t="s">
        <v>26</v>
      </c>
      <c r="M556" s="1">
        <v>2897</v>
      </c>
      <c r="N556" t="s">
        <v>34</v>
      </c>
      <c r="O556" s="5">
        <f>EDATE(O555,1)</f>
        <v>41944</v>
      </c>
      <c r="P556">
        <v>41</v>
      </c>
      <c r="Q556">
        <v>42</v>
      </c>
      <c r="R556" s="2">
        <f>IPMT((0.1/12),41,50,-10000,0,0)</f>
        <v>19.540905940149166</v>
      </c>
      <c r="S556">
        <v>50</v>
      </c>
      <c r="T556" s="2">
        <v>19.540905940149166</v>
      </c>
      <c r="U556" t="s">
        <v>29</v>
      </c>
      <c r="V556" t="s">
        <v>29</v>
      </c>
      <c r="W556">
        <v>0</v>
      </c>
      <c r="X556">
        <v>0</v>
      </c>
      <c r="Y556">
        <v>0</v>
      </c>
    </row>
    <row r="557" spans="1:25" x14ac:dyDescent="0.25">
      <c r="A557">
        <v>3</v>
      </c>
      <c r="B557" s="1">
        <v>1010</v>
      </c>
      <c r="C557" s="2" t="s">
        <v>36</v>
      </c>
      <c r="D557" s="2">
        <v>100000</v>
      </c>
      <c r="E557" s="2">
        <v>32800</v>
      </c>
      <c r="F557" s="1">
        <v>50</v>
      </c>
      <c r="G557" s="1">
        <v>42</v>
      </c>
      <c r="H557" s="2" t="s">
        <v>26</v>
      </c>
      <c r="J557" s="2" t="s">
        <v>26</v>
      </c>
      <c r="K557" s="2">
        <v>10000</v>
      </c>
      <c r="L557" s="2" t="s">
        <v>26</v>
      </c>
      <c r="M557" s="1">
        <v>2897</v>
      </c>
      <c r="N557" t="s">
        <v>34</v>
      </c>
      <c r="O557" s="5">
        <f>EDATE(O556,1)</f>
        <v>41974</v>
      </c>
      <c r="P557">
        <v>42</v>
      </c>
      <c r="Q557">
        <v>43</v>
      </c>
      <c r="R557" s="2">
        <f>IPMT((0.1/12),42,50,-10000,0,0)</f>
        <v>17.658978980528723</v>
      </c>
      <c r="S557">
        <v>50</v>
      </c>
      <c r="T557" s="2">
        <v>17.658978980528723</v>
      </c>
      <c r="U557" t="s">
        <v>29</v>
      </c>
      <c r="V557" t="s">
        <v>29</v>
      </c>
      <c r="W557">
        <v>0</v>
      </c>
      <c r="X557">
        <v>0</v>
      </c>
      <c r="Y557">
        <v>0</v>
      </c>
    </row>
    <row r="558" spans="1:25" x14ac:dyDescent="0.25">
      <c r="A558">
        <v>3</v>
      </c>
      <c r="B558" s="1">
        <v>1010</v>
      </c>
      <c r="C558" s="2" t="s">
        <v>36</v>
      </c>
      <c r="D558" s="2">
        <v>100000</v>
      </c>
      <c r="E558" s="2">
        <v>31200</v>
      </c>
      <c r="F558" s="1">
        <v>50</v>
      </c>
      <c r="G558" s="1">
        <v>43</v>
      </c>
      <c r="H558" s="2" t="s">
        <v>26</v>
      </c>
      <c r="J558" s="2" t="s">
        <v>26</v>
      </c>
      <c r="K558" s="2">
        <v>10000</v>
      </c>
      <c r="L558" s="2" t="s">
        <v>26</v>
      </c>
      <c r="M558" s="1">
        <v>2897</v>
      </c>
      <c r="N558" t="s">
        <v>34</v>
      </c>
      <c r="O558" s="5">
        <f>EDATE(O557,1)</f>
        <v>42005</v>
      </c>
      <c r="P558">
        <v>43</v>
      </c>
      <c r="Q558">
        <v>44</v>
      </c>
      <c r="R558" s="2">
        <f>IPMT((0.1/12),43,50,-10000,0,0)</f>
        <v>15.761369296244778</v>
      </c>
      <c r="S558">
        <v>50</v>
      </c>
      <c r="T558" s="2">
        <v>15.761369296244778</v>
      </c>
      <c r="U558" t="s">
        <v>29</v>
      </c>
      <c r="V558" t="s">
        <v>29</v>
      </c>
      <c r="W558">
        <v>0</v>
      </c>
      <c r="X558">
        <v>0</v>
      </c>
      <c r="Y558">
        <v>0</v>
      </c>
    </row>
    <row r="559" spans="1:25" x14ac:dyDescent="0.25">
      <c r="A559">
        <v>3</v>
      </c>
      <c r="B559" s="1">
        <v>1010</v>
      </c>
      <c r="C559" s="2" t="s">
        <v>36</v>
      </c>
      <c r="D559" s="2">
        <v>100000</v>
      </c>
      <c r="E559" s="2">
        <v>29600</v>
      </c>
      <c r="F559" s="1">
        <v>50</v>
      </c>
      <c r="G559" s="1">
        <v>44</v>
      </c>
      <c r="H559" s="2" t="s">
        <v>26</v>
      </c>
      <c r="J559" s="2" t="s">
        <v>26</v>
      </c>
      <c r="K559" s="2">
        <v>10000</v>
      </c>
      <c r="L559" s="2" t="s">
        <v>26</v>
      </c>
      <c r="M559" s="1">
        <v>2897</v>
      </c>
      <c r="N559" t="s">
        <v>34</v>
      </c>
      <c r="O559" s="5">
        <f>EDATE(O558,1)</f>
        <v>42036</v>
      </c>
      <c r="P559">
        <v>44</v>
      </c>
      <c r="Q559">
        <v>45</v>
      </c>
      <c r="R559" s="2">
        <f>IPMT((0.1/12),44,50,-10000,0,0)</f>
        <v>13.847946197925138</v>
      </c>
      <c r="S559">
        <v>50</v>
      </c>
      <c r="T559" s="2">
        <v>13.847946197925138</v>
      </c>
      <c r="U559" t="s">
        <v>29</v>
      </c>
      <c r="V559" t="s">
        <v>29</v>
      </c>
      <c r="W559">
        <v>0</v>
      </c>
      <c r="X559">
        <v>0</v>
      </c>
      <c r="Y559">
        <v>0</v>
      </c>
    </row>
    <row r="560" spans="1:25" x14ac:dyDescent="0.25">
      <c r="A560">
        <v>3</v>
      </c>
      <c r="B560" s="1">
        <v>1010</v>
      </c>
      <c r="C560" s="2" t="s">
        <v>36</v>
      </c>
      <c r="D560" s="2">
        <v>100000</v>
      </c>
      <c r="E560" s="2">
        <v>28000</v>
      </c>
      <c r="F560" s="1">
        <v>50</v>
      </c>
      <c r="G560" s="1">
        <v>45</v>
      </c>
      <c r="H560" s="2" t="s">
        <v>26</v>
      </c>
      <c r="J560" s="2" t="s">
        <v>26</v>
      </c>
      <c r="K560" s="2">
        <v>10000</v>
      </c>
      <c r="L560" s="2" t="s">
        <v>26</v>
      </c>
      <c r="M560" s="1">
        <v>2897</v>
      </c>
      <c r="N560" t="s">
        <v>34</v>
      </c>
      <c r="O560" s="5">
        <f>EDATE(O559,1)</f>
        <v>42064</v>
      </c>
      <c r="P560">
        <v>45</v>
      </c>
      <c r="Q560">
        <v>46</v>
      </c>
      <c r="R560" s="2">
        <f>IPMT((0.1/12),45,50,-10000,0,0)</f>
        <v>11.9185779071195</v>
      </c>
      <c r="S560">
        <v>50</v>
      </c>
      <c r="T560" s="2">
        <v>11.9185779071195</v>
      </c>
      <c r="U560" t="s">
        <v>29</v>
      </c>
      <c r="V560" t="s">
        <v>29</v>
      </c>
      <c r="W560">
        <v>0</v>
      </c>
      <c r="X560">
        <v>0</v>
      </c>
      <c r="Y560">
        <v>0</v>
      </c>
    </row>
    <row r="561" spans="1:25" x14ac:dyDescent="0.25">
      <c r="A561">
        <v>3</v>
      </c>
      <c r="B561" s="1">
        <v>1010</v>
      </c>
      <c r="C561" s="2" t="s">
        <v>36</v>
      </c>
      <c r="D561" s="2">
        <v>100000</v>
      </c>
      <c r="E561" s="2">
        <v>26400</v>
      </c>
      <c r="F561" s="1">
        <v>50</v>
      </c>
      <c r="G561" s="1">
        <v>46</v>
      </c>
      <c r="H561" s="2" t="s">
        <v>26</v>
      </c>
      <c r="J561" s="2" t="s">
        <v>26</v>
      </c>
      <c r="K561" s="2">
        <v>10000</v>
      </c>
      <c r="L561" s="2" t="s">
        <v>26</v>
      </c>
      <c r="M561" s="1">
        <v>2897</v>
      </c>
      <c r="N561" t="s">
        <v>34</v>
      </c>
      <c r="O561" s="5">
        <f>EDATE(O560,1)</f>
        <v>42095</v>
      </c>
      <c r="P561">
        <v>46</v>
      </c>
      <c r="Q561">
        <v>47</v>
      </c>
      <c r="R561" s="2">
        <f>IPMT((0.1/12),46,50,-10000,0,0)</f>
        <v>9.9731315472238151</v>
      </c>
      <c r="S561">
        <v>50</v>
      </c>
      <c r="T561" s="2">
        <v>9.9731315472238151</v>
      </c>
      <c r="U561" t="s">
        <v>29</v>
      </c>
      <c r="V561" t="s">
        <v>29</v>
      </c>
      <c r="W561">
        <v>0</v>
      </c>
      <c r="X561">
        <v>0</v>
      </c>
      <c r="Y561">
        <v>0</v>
      </c>
    </row>
    <row r="562" spans="1:25" x14ac:dyDescent="0.25">
      <c r="A562">
        <v>3</v>
      </c>
      <c r="B562" s="1">
        <v>1010</v>
      </c>
      <c r="C562" s="2" t="s">
        <v>36</v>
      </c>
      <c r="D562" s="2">
        <v>100000</v>
      </c>
      <c r="E562" s="2">
        <v>24800</v>
      </c>
      <c r="F562" s="1">
        <v>50</v>
      </c>
      <c r="G562" s="1">
        <v>47</v>
      </c>
      <c r="H562" s="2" t="s">
        <v>26</v>
      </c>
      <c r="J562" s="2" t="s">
        <v>26</v>
      </c>
      <c r="K562" s="2">
        <v>10000</v>
      </c>
      <c r="L562" s="2" t="s">
        <v>26</v>
      </c>
      <c r="M562" s="1">
        <v>2897</v>
      </c>
      <c r="N562" t="s">
        <v>34</v>
      </c>
      <c r="O562" s="5">
        <f>EDATE(O561,1)</f>
        <v>42125</v>
      </c>
      <c r="P562">
        <v>47</v>
      </c>
      <c r="Q562">
        <v>48</v>
      </c>
      <c r="R562" s="2">
        <f>IPMT((0.1/12),47,50,-10000,0,0)</f>
        <v>8.011473134329</v>
      </c>
      <c r="S562">
        <v>50</v>
      </c>
      <c r="T562" s="2">
        <v>8.011473134329</v>
      </c>
      <c r="U562" t="s">
        <v>29</v>
      </c>
      <c r="V562" t="s">
        <v>29</v>
      </c>
      <c r="W562">
        <v>0</v>
      </c>
      <c r="X562">
        <v>0</v>
      </c>
      <c r="Y562">
        <v>0</v>
      </c>
    </row>
    <row r="563" spans="1:25" x14ac:dyDescent="0.25">
      <c r="A563">
        <v>3</v>
      </c>
      <c r="B563" s="1">
        <v>1010</v>
      </c>
      <c r="C563" s="2" t="s">
        <v>36</v>
      </c>
      <c r="D563" s="2">
        <v>100000</v>
      </c>
      <c r="E563" s="2">
        <v>23200</v>
      </c>
      <c r="F563" s="1">
        <v>50</v>
      </c>
      <c r="G563" s="1">
        <v>48</v>
      </c>
      <c r="H563" s="2" t="s">
        <v>26</v>
      </c>
      <c r="J563" s="2" t="s">
        <v>26</v>
      </c>
      <c r="K563" s="2">
        <v>10000</v>
      </c>
      <c r="L563" s="2" t="s">
        <v>26</v>
      </c>
      <c r="M563" s="1">
        <v>2897</v>
      </c>
      <c r="N563" t="s">
        <v>34</v>
      </c>
      <c r="O563" s="5">
        <f>EDATE(O562,1)</f>
        <v>42156</v>
      </c>
      <c r="P563">
        <v>48</v>
      </c>
      <c r="Q563">
        <v>49</v>
      </c>
      <c r="R563" s="2">
        <f>IPMT((0.1/12),48,50,-10000,0,0)</f>
        <v>6.0334675679933945</v>
      </c>
      <c r="S563">
        <v>50</v>
      </c>
      <c r="T563" s="2">
        <v>6.0334675679933945</v>
      </c>
      <c r="U563" t="s">
        <v>29</v>
      </c>
      <c r="V563" t="s">
        <v>29</v>
      </c>
      <c r="W563">
        <v>0</v>
      </c>
      <c r="X563">
        <v>0</v>
      </c>
      <c r="Y563">
        <v>0</v>
      </c>
    </row>
    <row r="564" spans="1:25" x14ac:dyDescent="0.25">
      <c r="A564">
        <v>3</v>
      </c>
      <c r="B564" s="1">
        <v>1010</v>
      </c>
      <c r="C564" s="2" t="s">
        <v>36</v>
      </c>
      <c r="D564" s="2">
        <v>100000</v>
      </c>
      <c r="E564" s="2">
        <v>21600</v>
      </c>
      <c r="F564" s="1">
        <v>50</v>
      </c>
      <c r="G564" s="1">
        <v>49</v>
      </c>
      <c r="H564" s="2" t="s">
        <v>26</v>
      </c>
      <c r="J564" s="2" t="s">
        <v>26</v>
      </c>
      <c r="K564" s="2">
        <v>10000</v>
      </c>
      <c r="L564" s="2" t="s">
        <v>26</v>
      </c>
      <c r="M564" s="1">
        <v>2897</v>
      </c>
      <c r="N564" t="s">
        <v>34</v>
      </c>
      <c r="O564" s="5">
        <f>EDATE(O563,1)</f>
        <v>42186</v>
      </c>
      <c r="P564">
        <v>49</v>
      </c>
      <c r="Q564">
        <v>50</v>
      </c>
      <c r="R564" s="2">
        <f>IPMT((0.1/12),49,50,-10000,0,0)</f>
        <v>4.038978621938325</v>
      </c>
      <c r="S564">
        <v>50</v>
      </c>
      <c r="T564" s="2">
        <v>4.038978621938325</v>
      </c>
      <c r="U564" t="s">
        <v>29</v>
      </c>
      <c r="V564" t="s">
        <v>29</v>
      </c>
      <c r="W564">
        <v>0</v>
      </c>
      <c r="X564">
        <v>0</v>
      </c>
      <c r="Y564">
        <v>0</v>
      </c>
    </row>
    <row r="565" spans="1:25" x14ac:dyDescent="0.25">
      <c r="A565">
        <v>3</v>
      </c>
      <c r="B565" s="1">
        <v>1010</v>
      </c>
      <c r="C565" s="2" t="s">
        <v>36</v>
      </c>
      <c r="D565" s="2">
        <v>100000</v>
      </c>
      <c r="E565" s="2">
        <v>20000</v>
      </c>
      <c r="F565" s="1">
        <v>50</v>
      </c>
      <c r="G565" s="1">
        <v>50</v>
      </c>
      <c r="H565" s="2" t="s">
        <v>26</v>
      </c>
      <c r="J565" s="2" t="s">
        <v>26</v>
      </c>
      <c r="K565" s="2">
        <v>10000</v>
      </c>
      <c r="L565" s="2" t="s">
        <v>26</v>
      </c>
      <c r="M565" s="1">
        <v>2897</v>
      </c>
      <c r="N565" t="s">
        <v>34</v>
      </c>
      <c r="O565" s="5">
        <f>EDATE(O564,1)</f>
        <v>42217</v>
      </c>
      <c r="P565">
        <v>50</v>
      </c>
      <c r="Q565">
        <v>51</v>
      </c>
      <c r="R565" s="2">
        <f>IPMT((0.1/12),50,50,-10000,0,0)</f>
        <v>2.0278689346661301</v>
      </c>
      <c r="S565">
        <v>50</v>
      </c>
      <c r="T565" s="2">
        <v>2.0278689346661301</v>
      </c>
      <c r="U565" t="s">
        <v>29</v>
      </c>
      <c r="V565" t="s">
        <v>29</v>
      </c>
      <c r="W565">
        <v>0</v>
      </c>
      <c r="X565">
        <v>0</v>
      </c>
      <c r="Y565">
        <v>0</v>
      </c>
    </row>
    <row r="566" spans="1:25" x14ac:dyDescent="0.25">
      <c r="A566">
        <v>3</v>
      </c>
      <c r="B566" s="1">
        <v>1010</v>
      </c>
      <c r="C566" s="2" t="s">
        <v>36</v>
      </c>
      <c r="D566" s="2">
        <v>100000</v>
      </c>
      <c r="E566" s="2">
        <v>18400</v>
      </c>
      <c r="F566" s="1">
        <v>50</v>
      </c>
      <c r="G566" s="1">
        <v>51</v>
      </c>
      <c r="H566" s="2" t="s">
        <v>26</v>
      </c>
      <c r="J566" s="2" t="s">
        <v>26</v>
      </c>
      <c r="K566" s="2">
        <v>10000</v>
      </c>
      <c r="L566" s="2" t="s">
        <v>26</v>
      </c>
      <c r="M566" s="1">
        <v>2897</v>
      </c>
      <c r="N566" t="s">
        <v>34</v>
      </c>
      <c r="O566" s="5">
        <f>EDATE(O565,1)</f>
        <v>42248</v>
      </c>
      <c r="P566">
        <v>51</v>
      </c>
      <c r="Q566">
        <v>999</v>
      </c>
      <c r="S566">
        <v>50</v>
      </c>
      <c r="T566" s="2">
        <v>0</v>
      </c>
      <c r="U566" t="s">
        <v>29</v>
      </c>
      <c r="V566" t="s">
        <v>29</v>
      </c>
      <c r="W566">
        <v>0</v>
      </c>
      <c r="X566">
        <v>0</v>
      </c>
      <c r="Y566">
        <v>0</v>
      </c>
    </row>
    <row r="567" spans="1:25" x14ac:dyDescent="0.25">
      <c r="A567">
        <v>3</v>
      </c>
      <c r="B567" s="1">
        <v>1010</v>
      </c>
      <c r="C567" s="2" t="s">
        <v>36</v>
      </c>
      <c r="D567" s="2">
        <v>100000</v>
      </c>
      <c r="E567" s="2">
        <v>98400</v>
      </c>
      <c r="F567" s="1">
        <v>50</v>
      </c>
      <c r="G567" s="1">
        <v>1</v>
      </c>
      <c r="H567" s="2" t="s">
        <v>26</v>
      </c>
      <c r="J567" s="2" t="s">
        <v>26</v>
      </c>
      <c r="K567" s="2">
        <v>10000</v>
      </c>
      <c r="L567" s="2" t="s">
        <v>26</v>
      </c>
      <c r="M567" s="1">
        <v>2895</v>
      </c>
      <c r="N567" t="s">
        <v>35</v>
      </c>
      <c r="O567" s="5">
        <v>40725</v>
      </c>
      <c r="P567">
        <v>1</v>
      </c>
      <c r="Q567">
        <v>2</v>
      </c>
      <c r="R567" s="2">
        <f>PMT((0.1/12),50,-10000,0,0)</f>
        <v>245.37214109460174</v>
      </c>
      <c r="S567">
        <v>50</v>
      </c>
      <c r="T567" s="2">
        <v>245.37214109460174</v>
      </c>
      <c r="U567" t="s">
        <v>29</v>
      </c>
      <c r="V567" t="s">
        <v>29</v>
      </c>
      <c r="W567">
        <v>0</v>
      </c>
      <c r="X567">
        <v>0</v>
      </c>
      <c r="Y567">
        <v>0</v>
      </c>
    </row>
    <row r="568" spans="1:25" x14ac:dyDescent="0.25">
      <c r="A568">
        <v>3</v>
      </c>
      <c r="B568" s="1">
        <v>1010</v>
      </c>
      <c r="C568" s="2" t="s">
        <v>36</v>
      </c>
      <c r="D568" s="2">
        <v>100000</v>
      </c>
      <c r="E568" s="2">
        <v>96800</v>
      </c>
      <c r="F568" s="1">
        <v>50</v>
      </c>
      <c r="G568" s="1">
        <v>2</v>
      </c>
      <c r="H568" s="2" t="s">
        <v>26</v>
      </c>
      <c r="J568" s="2" t="s">
        <v>26</v>
      </c>
      <c r="K568" s="2">
        <v>10000</v>
      </c>
      <c r="L568" s="2" t="s">
        <v>26</v>
      </c>
      <c r="M568" s="1">
        <v>2895</v>
      </c>
      <c r="N568" t="s">
        <v>35</v>
      </c>
      <c r="O568" s="5">
        <f>EDATE(O567,1)</f>
        <v>40756</v>
      </c>
      <c r="P568">
        <v>2</v>
      </c>
      <c r="Q568">
        <v>3</v>
      </c>
      <c r="R568" s="2">
        <f>PMT((0.1/12),50,-10000,0,0)</f>
        <v>245.37214109460174</v>
      </c>
      <c r="S568">
        <v>50</v>
      </c>
      <c r="T568" s="2">
        <v>245.37214109460174</v>
      </c>
      <c r="U568" t="s">
        <v>29</v>
      </c>
      <c r="V568" t="s">
        <v>29</v>
      </c>
      <c r="W568">
        <v>0</v>
      </c>
      <c r="X568">
        <v>0</v>
      </c>
      <c r="Y568">
        <v>0</v>
      </c>
    </row>
    <row r="569" spans="1:25" x14ac:dyDescent="0.25">
      <c r="A569">
        <v>3</v>
      </c>
      <c r="B569" s="1">
        <v>1010</v>
      </c>
      <c r="C569" s="2" t="s">
        <v>36</v>
      </c>
      <c r="D569" s="2">
        <v>100000</v>
      </c>
      <c r="E569" s="2">
        <v>95200</v>
      </c>
      <c r="F569" s="1">
        <v>50</v>
      </c>
      <c r="G569" s="1">
        <v>3</v>
      </c>
      <c r="H569" s="2" t="s">
        <v>26</v>
      </c>
      <c r="J569" s="2" t="s">
        <v>26</v>
      </c>
      <c r="K569" s="2">
        <v>10000</v>
      </c>
      <c r="L569" s="2" t="s">
        <v>26</v>
      </c>
      <c r="M569" s="1">
        <v>2895</v>
      </c>
      <c r="N569" t="s">
        <v>35</v>
      </c>
      <c r="O569" s="5">
        <f>EDATE(O568,1)</f>
        <v>40787</v>
      </c>
      <c r="P569">
        <v>3</v>
      </c>
      <c r="Q569">
        <v>4</v>
      </c>
      <c r="R569" s="2">
        <f>PMT((0.1/12),50,-10000,0,0)</f>
        <v>245.37214109460174</v>
      </c>
      <c r="S569">
        <v>50</v>
      </c>
      <c r="T569" s="2">
        <v>245.37214109460174</v>
      </c>
      <c r="U569" t="s">
        <v>29</v>
      </c>
      <c r="V569" t="s">
        <v>29</v>
      </c>
      <c r="W569">
        <v>0</v>
      </c>
      <c r="X569">
        <v>0</v>
      </c>
      <c r="Y569">
        <v>0</v>
      </c>
    </row>
    <row r="570" spans="1:25" x14ac:dyDescent="0.25">
      <c r="A570">
        <v>3</v>
      </c>
      <c r="B570" s="1">
        <v>1010</v>
      </c>
      <c r="C570" s="2" t="s">
        <v>36</v>
      </c>
      <c r="D570" s="2">
        <v>100000</v>
      </c>
      <c r="E570" s="2">
        <v>93600</v>
      </c>
      <c r="F570" s="1">
        <v>50</v>
      </c>
      <c r="G570" s="1">
        <v>4</v>
      </c>
      <c r="H570" s="2" t="s">
        <v>26</v>
      </c>
      <c r="J570" s="2" t="s">
        <v>26</v>
      </c>
      <c r="K570" s="2">
        <v>10000</v>
      </c>
      <c r="L570" s="2" t="s">
        <v>26</v>
      </c>
      <c r="M570" s="1">
        <v>2895</v>
      </c>
      <c r="N570" t="s">
        <v>35</v>
      </c>
      <c r="O570" s="5">
        <f>EDATE(O569,1)</f>
        <v>40817</v>
      </c>
      <c r="P570">
        <v>4</v>
      </c>
      <c r="Q570">
        <v>5</v>
      </c>
      <c r="R570" s="2">
        <f>PMT((0.1/12),50,-10000,0,0)</f>
        <v>245.37214109460174</v>
      </c>
      <c r="S570">
        <v>50</v>
      </c>
      <c r="T570" s="2">
        <v>245.37214109460174</v>
      </c>
      <c r="U570" t="s">
        <v>29</v>
      </c>
      <c r="V570" t="s">
        <v>29</v>
      </c>
      <c r="W570">
        <v>0</v>
      </c>
      <c r="X570">
        <v>0</v>
      </c>
      <c r="Y570">
        <v>0</v>
      </c>
    </row>
    <row r="571" spans="1:25" x14ac:dyDescent="0.25">
      <c r="A571">
        <v>3</v>
      </c>
      <c r="B571" s="1">
        <v>1010</v>
      </c>
      <c r="C571" s="2" t="s">
        <v>36</v>
      </c>
      <c r="D571" s="2">
        <v>100000</v>
      </c>
      <c r="E571" s="2">
        <v>92000</v>
      </c>
      <c r="F571" s="1">
        <v>50</v>
      </c>
      <c r="G571" s="1">
        <v>5</v>
      </c>
      <c r="H571" s="2" t="s">
        <v>26</v>
      </c>
      <c r="J571" s="2" t="s">
        <v>26</v>
      </c>
      <c r="K571" s="2">
        <v>10000</v>
      </c>
      <c r="L571" s="2" t="s">
        <v>26</v>
      </c>
      <c r="M571" s="1">
        <v>2895</v>
      </c>
      <c r="N571" t="s">
        <v>35</v>
      </c>
      <c r="O571" s="5">
        <f>EDATE(O570,1)</f>
        <v>40848</v>
      </c>
      <c r="P571">
        <v>5</v>
      </c>
      <c r="Q571">
        <v>6</v>
      </c>
      <c r="R571" s="2">
        <f>PMT((0.1/12),50,-10000,0,0)</f>
        <v>245.37214109460174</v>
      </c>
      <c r="S571">
        <v>50</v>
      </c>
      <c r="T571" s="2">
        <v>245.37214109460174</v>
      </c>
      <c r="U571" t="s">
        <v>29</v>
      </c>
      <c r="V571" t="s">
        <v>29</v>
      </c>
      <c r="W571">
        <v>0</v>
      </c>
      <c r="X571">
        <v>0</v>
      </c>
      <c r="Y571">
        <v>0</v>
      </c>
    </row>
    <row r="572" spans="1:25" x14ac:dyDescent="0.25">
      <c r="A572">
        <v>3</v>
      </c>
      <c r="B572" s="1">
        <v>1010</v>
      </c>
      <c r="C572" s="2" t="s">
        <v>36</v>
      </c>
      <c r="D572" s="2">
        <v>100000</v>
      </c>
      <c r="E572" s="2">
        <v>90400</v>
      </c>
      <c r="F572" s="1">
        <v>50</v>
      </c>
      <c r="G572" s="1">
        <v>6</v>
      </c>
      <c r="H572" s="2" t="s">
        <v>26</v>
      </c>
      <c r="J572" s="2" t="s">
        <v>26</v>
      </c>
      <c r="K572" s="2">
        <v>10000</v>
      </c>
      <c r="L572" s="2" t="s">
        <v>26</v>
      </c>
      <c r="M572" s="1">
        <v>2895</v>
      </c>
      <c r="N572" t="s">
        <v>35</v>
      </c>
      <c r="O572" s="5">
        <f>EDATE(O571,1)</f>
        <v>40878</v>
      </c>
      <c r="P572">
        <v>6</v>
      </c>
      <c r="Q572">
        <v>7</v>
      </c>
      <c r="R572" s="2">
        <f>PMT((0.1/12),50,-10000,0,0)</f>
        <v>245.37214109460174</v>
      </c>
      <c r="S572">
        <v>50</v>
      </c>
      <c r="T572" s="2">
        <v>245.37214109460174</v>
      </c>
      <c r="U572" t="s">
        <v>29</v>
      </c>
      <c r="V572" t="s">
        <v>29</v>
      </c>
      <c r="W572">
        <v>0</v>
      </c>
      <c r="X572">
        <v>0</v>
      </c>
      <c r="Y572">
        <v>0</v>
      </c>
    </row>
    <row r="573" spans="1:25" x14ac:dyDescent="0.25">
      <c r="A573">
        <v>3</v>
      </c>
      <c r="B573" s="1">
        <v>1010</v>
      </c>
      <c r="C573" s="2" t="s">
        <v>36</v>
      </c>
      <c r="D573" s="2">
        <v>100000</v>
      </c>
      <c r="E573" s="2">
        <v>88800</v>
      </c>
      <c r="F573" s="1">
        <v>50</v>
      </c>
      <c r="G573" s="1">
        <v>7</v>
      </c>
      <c r="H573" s="2" t="s">
        <v>26</v>
      </c>
      <c r="J573" s="2" t="s">
        <v>26</v>
      </c>
      <c r="K573" s="2">
        <v>10000</v>
      </c>
      <c r="L573" s="2" t="s">
        <v>26</v>
      </c>
      <c r="M573" s="1">
        <v>2895</v>
      </c>
      <c r="N573" t="s">
        <v>35</v>
      </c>
      <c r="O573" s="5">
        <f>EDATE(O572,1)</f>
        <v>40909</v>
      </c>
      <c r="P573">
        <v>7</v>
      </c>
      <c r="Q573">
        <v>8</v>
      </c>
      <c r="R573" s="2">
        <f>PMT((0.1/12),50,-10000,0,0)</f>
        <v>245.37214109460174</v>
      </c>
      <c r="S573">
        <v>50</v>
      </c>
      <c r="T573" s="2">
        <v>245.37214109460174</v>
      </c>
      <c r="U573" t="s">
        <v>29</v>
      </c>
      <c r="V573" t="s">
        <v>29</v>
      </c>
      <c r="W573">
        <v>0</v>
      </c>
      <c r="X573">
        <v>0</v>
      </c>
      <c r="Y573">
        <v>0</v>
      </c>
    </row>
    <row r="574" spans="1:25" x14ac:dyDescent="0.25">
      <c r="A574">
        <v>3</v>
      </c>
      <c r="B574" s="1">
        <v>1010</v>
      </c>
      <c r="C574" s="2" t="s">
        <v>36</v>
      </c>
      <c r="D574" s="2">
        <v>100000</v>
      </c>
      <c r="E574" s="2">
        <v>87200</v>
      </c>
      <c r="F574" s="1">
        <v>50</v>
      </c>
      <c r="G574" s="1">
        <v>8</v>
      </c>
      <c r="H574" s="2" t="s">
        <v>26</v>
      </c>
      <c r="J574" s="2" t="s">
        <v>26</v>
      </c>
      <c r="K574" s="2">
        <v>10000</v>
      </c>
      <c r="L574" s="2" t="s">
        <v>26</v>
      </c>
      <c r="M574" s="1">
        <v>2895</v>
      </c>
      <c r="N574" t="s">
        <v>35</v>
      </c>
      <c r="O574" s="5">
        <f>EDATE(O573,1)</f>
        <v>40940</v>
      </c>
      <c r="P574">
        <v>8</v>
      </c>
      <c r="Q574">
        <v>9</v>
      </c>
      <c r="R574" s="2">
        <f>PMT((0.1/12),50,-10000,0,0)</f>
        <v>245.37214109460174</v>
      </c>
      <c r="S574">
        <v>50</v>
      </c>
      <c r="T574" s="2">
        <v>245.37214109460174</v>
      </c>
      <c r="U574" t="s">
        <v>29</v>
      </c>
      <c r="V574" t="s">
        <v>29</v>
      </c>
      <c r="W574">
        <v>0</v>
      </c>
      <c r="X574">
        <v>0</v>
      </c>
      <c r="Y574">
        <v>0</v>
      </c>
    </row>
    <row r="575" spans="1:25" x14ac:dyDescent="0.25">
      <c r="A575">
        <v>3</v>
      </c>
      <c r="B575" s="1">
        <v>1010</v>
      </c>
      <c r="C575" s="2" t="s">
        <v>36</v>
      </c>
      <c r="D575" s="2">
        <v>100000</v>
      </c>
      <c r="E575" s="2">
        <v>85600</v>
      </c>
      <c r="F575" s="1">
        <v>50</v>
      </c>
      <c r="G575" s="1">
        <v>9</v>
      </c>
      <c r="H575" s="2" t="s">
        <v>26</v>
      </c>
      <c r="J575" s="2" t="s">
        <v>26</v>
      </c>
      <c r="K575" s="2">
        <v>10000</v>
      </c>
      <c r="L575" s="2" t="s">
        <v>26</v>
      </c>
      <c r="M575" s="1">
        <v>2895</v>
      </c>
      <c r="N575" t="s">
        <v>35</v>
      </c>
      <c r="O575" s="5">
        <f>EDATE(O574,1)</f>
        <v>40969</v>
      </c>
      <c r="P575">
        <v>9</v>
      </c>
      <c r="Q575">
        <v>10</v>
      </c>
      <c r="R575" s="2">
        <f>PMT((0.1/12),50,-10000,0,0)</f>
        <v>245.37214109460174</v>
      </c>
      <c r="S575">
        <v>50</v>
      </c>
      <c r="T575" s="2">
        <v>245.37214109460174</v>
      </c>
      <c r="U575" t="s">
        <v>29</v>
      </c>
      <c r="V575" t="s">
        <v>29</v>
      </c>
      <c r="W575">
        <v>0</v>
      </c>
      <c r="X575">
        <v>0</v>
      </c>
      <c r="Y575">
        <v>0</v>
      </c>
    </row>
    <row r="576" spans="1:25" x14ac:dyDescent="0.25">
      <c r="A576">
        <v>3</v>
      </c>
      <c r="B576" s="1">
        <v>1010</v>
      </c>
      <c r="C576" s="2" t="s">
        <v>36</v>
      </c>
      <c r="D576" s="2">
        <v>100000</v>
      </c>
      <c r="E576" s="2">
        <v>84000</v>
      </c>
      <c r="F576" s="1">
        <v>50</v>
      </c>
      <c r="G576" s="1">
        <v>10</v>
      </c>
      <c r="H576" s="2" t="s">
        <v>26</v>
      </c>
      <c r="J576" s="2" t="s">
        <v>26</v>
      </c>
      <c r="K576" s="2">
        <v>10000</v>
      </c>
      <c r="L576" s="2" t="s">
        <v>26</v>
      </c>
      <c r="M576" s="1">
        <v>2895</v>
      </c>
      <c r="N576" t="s">
        <v>35</v>
      </c>
      <c r="O576" s="5">
        <f>EDATE(O575,1)</f>
        <v>41000</v>
      </c>
      <c r="P576">
        <v>10</v>
      </c>
      <c r="Q576">
        <v>11</v>
      </c>
      <c r="R576" s="2">
        <f>PMT((0.1/12),50,-10000,0,0)</f>
        <v>245.37214109460174</v>
      </c>
      <c r="S576">
        <v>50</v>
      </c>
      <c r="T576" s="2">
        <v>245.37214109460174</v>
      </c>
      <c r="U576" t="s">
        <v>29</v>
      </c>
      <c r="V576" t="s">
        <v>29</v>
      </c>
      <c r="W576">
        <v>0</v>
      </c>
      <c r="X576">
        <v>0</v>
      </c>
      <c r="Y576">
        <v>0</v>
      </c>
    </row>
    <row r="577" spans="1:25" x14ac:dyDescent="0.25">
      <c r="A577">
        <v>3</v>
      </c>
      <c r="B577" s="1">
        <v>1010</v>
      </c>
      <c r="C577" s="2" t="s">
        <v>36</v>
      </c>
      <c r="D577" s="2">
        <v>100000</v>
      </c>
      <c r="E577" s="2">
        <v>82400</v>
      </c>
      <c r="F577" s="1">
        <v>50</v>
      </c>
      <c r="G577" s="1">
        <v>11</v>
      </c>
      <c r="H577" s="2" t="s">
        <v>26</v>
      </c>
      <c r="J577" s="2" t="s">
        <v>26</v>
      </c>
      <c r="K577" s="2">
        <v>10000</v>
      </c>
      <c r="L577" s="2" t="s">
        <v>26</v>
      </c>
      <c r="M577" s="1">
        <v>2895</v>
      </c>
      <c r="N577" t="s">
        <v>35</v>
      </c>
      <c r="O577" s="5">
        <f>EDATE(O576,1)</f>
        <v>41030</v>
      </c>
      <c r="P577">
        <v>11</v>
      </c>
      <c r="Q577">
        <v>12</v>
      </c>
      <c r="R577" s="2">
        <f>PMT((0.1/12),50,-10000,0,0)</f>
        <v>245.37214109460174</v>
      </c>
      <c r="S577">
        <v>50</v>
      </c>
      <c r="T577" s="2">
        <v>245.37214109460174</v>
      </c>
      <c r="U577" t="s">
        <v>29</v>
      </c>
      <c r="V577" t="s">
        <v>29</v>
      </c>
      <c r="W577">
        <v>0</v>
      </c>
      <c r="X577">
        <v>0</v>
      </c>
      <c r="Y577">
        <v>0</v>
      </c>
    </row>
    <row r="578" spans="1:25" x14ac:dyDescent="0.25">
      <c r="A578">
        <v>3</v>
      </c>
      <c r="B578" s="1">
        <v>1010</v>
      </c>
      <c r="C578" s="2" t="s">
        <v>36</v>
      </c>
      <c r="D578" s="2">
        <v>100000</v>
      </c>
      <c r="E578" s="2">
        <v>80800</v>
      </c>
      <c r="F578" s="1">
        <v>50</v>
      </c>
      <c r="G578" s="1">
        <v>12</v>
      </c>
      <c r="H578" s="2" t="s">
        <v>26</v>
      </c>
      <c r="J578" s="2" t="s">
        <v>26</v>
      </c>
      <c r="K578" s="2">
        <v>10000</v>
      </c>
      <c r="L578" s="2" t="s">
        <v>26</v>
      </c>
      <c r="M578" s="1">
        <v>2895</v>
      </c>
      <c r="N578" t="s">
        <v>35</v>
      </c>
      <c r="O578" s="5">
        <f>EDATE(O577,1)</f>
        <v>41061</v>
      </c>
      <c r="P578">
        <v>12</v>
      </c>
      <c r="Q578">
        <v>13</v>
      </c>
      <c r="R578" s="2">
        <f>PMT((0.1/12),50,-10000,0,0)</f>
        <v>245.37214109460174</v>
      </c>
      <c r="S578">
        <v>50</v>
      </c>
      <c r="T578" s="2">
        <v>245.37214109460174</v>
      </c>
      <c r="U578" t="s">
        <v>29</v>
      </c>
      <c r="V578" t="s">
        <v>29</v>
      </c>
      <c r="W578">
        <v>0</v>
      </c>
      <c r="X578">
        <v>0</v>
      </c>
      <c r="Y578">
        <v>0</v>
      </c>
    </row>
    <row r="579" spans="1:25" x14ac:dyDescent="0.25">
      <c r="A579">
        <v>3</v>
      </c>
      <c r="B579" s="1">
        <v>1010</v>
      </c>
      <c r="C579" s="2" t="s">
        <v>36</v>
      </c>
      <c r="D579" s="2">
        <v>100000</v>
      </c>
      <c r="E579" s="2">
        <v>79200</v>
      </c>
      <c r="F579" s="1">
        <v>50</v>
      </c>
      <c r="G579" s="1">
        <v>13</v>
      </c>
      <c r="H579" s="2" t="s">
        <v>26</v>
      </c>
      <c r="J579" s="2" t="s">
        <v>26</v>
      </c>
      <c r="K579" s="2">
        <v>10000</v>
      </c>
      <c r="L579" s="2" t="s">
        <v>26</v>
      </c>
      <c r="M579" s="1">
        <v>2895</v>
      </c>
      <c r="N579" t="s">
        <v>35</v>
      </c>
      <c r="O579" s="5">
        <f>EDATE(O578,1)</f>
        <v>41091</v>
      </c>
      <c r="P579">
        <v>13</v>
      </c>
      <c r="Q579">
        <v>14</v>
      </c>
      <c r="R579" s="2">
        <f>PMT((0.1/12),50,-10000,0,0)</f>
        <v>245.37214109460174</v>
      </c>
      <c r="S579">
        <v>50</v>
      </c>
      <c r="T579" s="2">
        <v>245.37214109460174</v>
      </c>
      <c r="U579" t="s">
        <v>29</v>
      </c>
      <c r="V579" t="s">
        <v>29</v>
      </c>
      <c r="W579">
        <v>0</v>
      </c>
      <c r="X579">
        <v>0</v>
      </c>
      <c r="Y579">
        <v>0</v>
      </c>
    </row>
    <row r="580" spans="1:25" x14ac:dyDescent="0.25">
      <c r="A580">
        <v>3</v>
      </c>
      <c r="B580" s="1">
        <v>1010</v>
      </c>
      <c r="C580" s="2" t="s">
        <v>36</v>
      </c>
      <c r="D580" s="2">
        <v>100000</v>
      </c>
      <c r="E580" s="2">
        <v>77600</v>
      </c>
      <c r="F580" s="1">
        <v>50</v>
      </c>
      <c r="G580" s="1">
        <v>14</v>
      </c>
      <c r="H580" s="2" t="s">
        <v>26</v>
      </c>
      <c r="J580" s="2" t="s">
        <v>26</v>
      </c>
      <c r="K580" s="2">
        <v>10000</v>
      </c>
      <c r="L580" s="2" t="s">
        <v>26</v>
      </c>
      <c r="M580" s="1">
        <v>2895</v>
      </c>
      <c r="N580" t="s">
        <v>35</v>
      </c>
      <c r="O580" s="5">
        <f>EDATE(O579,1)</f>
        <v>41122</v>
      </c>
      <c r="P580">
        <v>14</v>
      </c>
      <c r="Q580">
        <v>15</v>
      </c>
      <c r="R580" s="2">
        <f>PMT((0.1/12),50,-10000,0,0)</f>
        <v>245.37214109460174</v>
      </c>
      <c r="S580">
        <v>50</v>
      </c>
      <c r="T580" s="2">
        <v>245.37214109460174</v>
      </c>
      <c r="U580" t="s">
        <v>29</v>
      </c>
      <c r="V580" t="s">
        <v>29</v>
      </c>
      <c r="W580">
        <v>0</v>
      </c>
      <c r="X580">
        <v>0</v>
      </c>
      <c r="Y580">
        <v>0</v>
      </c>
    </row>
    <row r="581" spans="1:25" x14ac:dyDescent="0.25">
      <c r="A581">
        <v>3</v>
      </c>
      <c r="B581" s="1">
        <v>1010</v>
      </c>
      <c r="C581" s="2" t="s">
        <v>36</v>
      </c>
      <c r="D581" s="2">
        <v>100000</v>
      </c>
      <c r="E581" s="2">
        <v>76000</v>
      </c>
      <c r="F581" s="1">
        <v>50</v>
      </c>
      <c r="G581" s="1">
        <v>15</v>
      </c>
      <c r="H581" s="2" t="s">
        <v>26</v>
      </c>
      <c r="J581" s="2" t="s">
        <v>26</v>
      </c>
      <c r="K581" s="2">
        <v>10000</v>
      </c>
      <c r="L581" s="2" t="s">
        <v>26</v>
      </c>
      <c r="M581" s="1">
        <v>2895</v>
      </c>
      <c r="N581" t="s">
        <v>35</v>
      </c>
      <c r="O581" s="5">
        <f>EDATE(O580,1)</f>
        <v>41153</v>
      </c>
      <c r="P581">
        <v>15</v>
      </c>
      <c r="Q581">
        <v>16</v>
      </c>
      <c r="R581" s="2">
        <f>PMT((0.1/12),50,-10000,0,0)</f>
        <v>245.37214109460174</v>
      </c>
      <c r="S581">
        <v>50</v>
      </c>
      <c r="T581" s="2">
        <v>245.37214109460174</v>
      </c>
      <c r="U581" t="s">
        <v>29</v>
      </c>
      <c r="V581" t="s">
        <v>29</v>
      </c>
      <c r="W581">
        <v>0</v>
      </c>
      <c r="X581">
        <v>0</v>
      </c>
      <c r="Y581">
        <v>0</v>
      </c>
    </row>
    <row r="582" spans="1:25" x14ac:dyDescent="0.25">
      <c r="A582">
        <v>3</v>
      </c>
      <c r="B582" s="1">
        <v>1010</v>
      </c>
      <c r="C582" s="2" t="s">
        <v>36</v>
      </c>
      <c r="D582" s="2">
        <v>100000</v>
      </c>
      <c r="E582" s="2">
        <v>74400</v>
      </c>
      <c r="F582" s="1">
        <v>50</v>
      </c>
      <c r="G582" s="1">
        <v>16</v>
      </c>
      <c r="H582" s="2" t="s">
        <v>26</v>
      </c>
      <c r="J582" s="2" t="s">
        <v>26</v>
      </c>
      <c r="K582" s="2">
        <v>10000</v>
      </c>
      <c r="L582" s="2" t="s">
        <v>26</v>
      </c>
      <c r="M582" s="1">
        <v>2895</v>
      </c>
      <c r="N582" t="s">
        <v>35</v>
      </c>
      <c r="O582" s="5">
        <f>EDATE(O581,1)</f>
        <v>41183</v>
      </c>
      <c r="P582">
        <v>16</v>
      </c>
      <c r="Q582">
        <v>17</v>
      </c>
      <c r="R582" s="2">
        <f>PMT((0.1/12),50,-10000,0,0)</f>
        <v>245.37214109460174</v>
      </c>
      <c r="S582">
        <v>50</v>
      </c>
      <c r="T582" s="2">
        <v>245.37214109460174</v>
      </c>
      <c r="U582" t="s">
        <v>29</v>
      </c>
      <c r="V582" t="s">
        <v>29</v>
      </c>
      <c r="W582">
        <v>0</v>
      </c>
      <c r="X582">
        <v>0</v>
      </c>
      <c r="Y582">
        <v>0</v>
      </c>
    </row>
    <row r="583" spans="1:25" x14ac:dyDescent="0.25">
      <c r="A583">
        <v>3</v>
      </c>
      <c r="B583" s="1">
        <v>1010</v>
      </c>
      <c r="C583" s="2" t="s">
        <v>36</v>
      </c>
      <c r="D583" s="2">
        <v>100000</v>
      </c>
      <c r="E583" s="2">
        <v>72800</v>
      </c>
      <c r="F583" s="1">
        <v>50</v>
      </c>
      <c r="G583" s="1">
        <v>17</v>
      </c>
      <c r="H583" s="2" t="s">
        <v>26</v>
      </c>
      <c r="J583" s="2" t="s">
        <v>26</v>
      </c>
      <c r="K583" s="2">
        <v>10000</v>
      </c>
      <c r="L583" s="2" t="s">
        <v>26</v>
      </c>
      <c r="M583" s="1">
        <v>2895</v>
      </c>
      <c r="N583" t="s">
        <v>35</v>
      </c>
      <c r="O583" s="5">
        <f>EDATE(O582,1)</f>
        <v>41214</v>
      </c>
      <c r="P583">
        <v>17</v>
      </c>
      <c r="Q583">
        <v>18</v>
      </c>
      <c r="R583" s="2">
        <f>PMT((0.1/12),50,-10000,0,0)</f>
        <v>245.37214109460174</v>
      </c>
      <c r="S583">
        <v>50</v>
      </c>
      <c r="T583" s="2">
        <v>245.37214109460174</v>
      </c>
      <c r="U583" t="s">
        <v>29</v>
      </c>
      <c r="V583" t="s">
        <v>29</v>
      </c>
      <c r="W583">
        <v>0</v>
      </c>
      <c r="X583">
        <v>0</v>
      </c>
      <c r="Y583">
        <v>0</v>
      </c>
    </row>
    <row r="584" spans="1:25" x14ac:dyDescent="0.25">
      <c r="A584">
        <v>3</v>
      </c>
      <c r="B584" s="1">
        <v>1010</v>
      </c>
      <c r="C584" s="2" t="s">
        <v>36</v>
      </c>
      <c r="D584" s="2">
        <v>100000</v>
      </c>
      <c r="E584" s="2">
        <v>71200</v>
      </c>
      <c r="F584" s="1">
        <v>50</v>
      </c>
      <c r="G584" s="1">
        <v>18</v>
      </c>
      <c r="H584" s="2" t="s">
        <v>26</v>
      </c>
      <c r="J584" s="2" t="s">
        <v>26</v>
      </c>
      <c r="K584" s="2">
        <v>10000</v>
      </c>
      <c r="L584" s="2" t="s">
        <v>26</v>
      </c>
      <c r="M584" s="1">
        <v>2895</v>
      </c>
      <c r="N584" t="s">
        <v>35</v>
      </c>
      <c r="O584" s="5">
        <f>EDATE(O583,1)</f>
        <v>41244</v>
      </c>
      <c r="P584">
        <v>18</v>
      </c>
      <c r="Q584">
        <v>19</v>
      </c>
      <c r="R584" s="2">
        <f>PMT((0.1/12),50,-10000,0,0)</f>
        <v>245.37214109460174</v>
      </c>
      <c r="S584">
        <v>50</v>
      </c>
      <c r="T584" s="2">
        <v>245.37214109460174</v>
      </c>
      <c r="U584" t="s">
        <v>29</v>
      </c>
      <c r="V584" t="s">
        <v>29</v>
      </c>
      <c r="W584">
        <v>0</v>
      </c>
      <c r="X584">
        <v>0</v>
      </c>
      <c r="Y584">
        <v>0</v>
      </c>
    </row>
    <row r="585" spans="1:25" x14ac:dyDescent="0.25">
      <c r="A585">
        <v>3</v>
      </c>
      <c r="B585" s="1">
        <v>1010</v>
      </c>
      <c r="C585" s="2" t="s">
        <v>36</v>
      </c>
      <c r="D585" s="2">
        <v>100000</v>
      </c>
      <c r="E585" s="2">
        <v>69600</v>
      </c>
      <c r="F585" s="1">
        <v>50</v>
      </c>
      <c r="G585" s="1">
        <v>19</v>
      </c>
      <c r="H585" s="2" t="s">
        <v>26</v>
      </c>
      <c r="J585" s="2" t="s">
        <v>26</v>
      </c>
      <c r="K585" s="2">
        <v>10000</v>
      </c>
      <c r="L585" s="2" t="s">
        <v>26</v>
      </c>
      <c r="M585" s="1">
        <v>2895</v>
      </c>
      <c r="N585" t="s">
        <v>35</v>
      </c>
      <c r="O585" s="5">
        <f>EDATE(O584,1)</f>
        <v>41275</v>
      </c>
      <c r="P585">
        <v>19</v>
      </c>
      <c r="Q585">
        <v>20</v>
      </c>
      <c r="R585" s="2">
        <f>PMT((0.1/12),50,-10000,0,0)</f>
        <v>245.37214109460174</v>
      </c>
      <c r="S585">
        <v>50</v>
      </c>
      <c r="T585" s="2">
        <v>245.37214109460174</v>
      </c>
      <c r="U585" t="s">
        <v>29</v>
      </c>
      <c r="V585" t="s">
        <v>29</v>
      </c>
      <c r="W585">
        <v>0</v>
      </c>
      <c r="X585">
        <v>0</v>
      </c>
      <c r="Y585">
        <v>0</v>
      </c>
    </row>
    <row r="586" spans="1:25" x14ac:dyDescent="0.25">
      <c r="A586">
        <v>3</v>
      </c>
      <c r="B586" s="1">
        <v>1010</v>
      </c>
      <c r="C586" s="2" t="s">
        <v>36</v>
      </c>
      <c r="D586" s="2">
        <v>100000</v>
      </c>
      <c r="E586" s="2">
        <v>68000</v>
      </c>
      <c r="F586" s="1">
        <v>50</v>
      </c>
      <c r="G586" s="1">
        <v>20</v>
      </c>
      <c r="H586" s="2" t="s">
        <v>26</v>
      </c>
      <c r="J586" s="2" t="s">
        <v>26</v>
      </c>
      <c r="K586" s="2">
        <v>10000</v>
      </c>
      <c r="L586" s="2" t="s">
        <v>26</v>
      </c>
      <c r="M586" s="1">
        <v>2895</v>
      </c>
      <c r="N586" t="s">
        <v>35</v>
      </c>
      <c r="O586" s="5">
        <f>EDATE(O585,1)</f>
        <v>41306</v>
      </c>
      <c r="P586">
        <v>20</v>
      </c>
      <c r="Q586">
        <v>21</v>
      </c>
      <c r="R586" s="2">
        <f>PMT((0.1/12),50,-10000,0,0)</f>
        <v>245.37214109460174</v>
      </c>
      <c r="S586">
        <v>50</v>
      </c>
      <c r="T586" s="2">
        <v>245.37214109460174</v>
      </c>
      <c r="U586" t="s">
        <v>29</v>
      </c>
      <c r="V586" t="s">
        <v>29</v>
      </c>
      <c r="W586">
        <v>0</v>
      </c>
      <c r="X586">
        <v>0</v>
      </c>
      <c r="Y586">
        <v>0</v>
      </c>
    </row>
    <row r="587" spans="1:25" x14ac:dyDescent="0.25">
      <c r="A587">
        <v>3</v>
      </c>
      <c r="B587" s="1">
        <v>1010</v>
      </c>
      <c r="C587" s="2" t="s">
        <v>36</v>
      </c>
      <c r="D587" s="2">
        <v>100000</v>
      </c>
      <c r="E587" s="2">
        <v>66400</v>
      </c>
      <c r="F587" s="1">
        <v>50</v>
      </c>
      <c r="G587" s="1">
        <v>21</v>
      </c>
      <c r="H587" s="2" t="s">
        <v>26</v>
      </c>
      <c r="J587" s="2" t="s">
        <v>26</v>
      </c>
      <c r="K587" s="2">
        <v>10000</v>
      </c>
      <c r="L587" s="2" t="s">
        <v>26</v>
      </c>
      <c r="M587" s="1">
        <v>2895</v>
      </c>
      <c r="N587" t="s">
        <v>35</v>
      </c>
      <c r="O587" s="5">
        <f>EDATE(O586,1)</f>
        <v>41334</v>
      </c>
      <c r="P587">
        <v>21</v>
      </c>
      <c r="Q587">
        <v>22</v>
      </c>
      <c r="R587" s="2">
        <f>PMT((0.1/12),50,-10000,0,0)</f>
        <v>245.37214109460174</v>
      </c>
      <c r="S587">
        <v>50</v>
      </c>
      <c r="T587" s="2">
        <v>245.37214109460174</v>
      </c>
      <c r="U587" t="s">
        <v>29</v>
      </c>
      <c r="V587" t="s">
        <v>29</v>
      </c>
      <c r="W587">
        <v>0</v>
      </c>
      <c r="X587">
        <v>0</v>
      </c>
      <c r="Y587">
        <v>0</v>
      </c>
    </row>
    <row r="588" spans="1:25" x14ac:dyDescent="0.25">
      <c r="A588">
        <v>3</v>
      </c>
      <c r="B588" s="1">
        <v>1010</v>
      </c>
      <c r="C588" s="2" t="s">
        <v>36</v>
      </c>
      <c r="D588" s="2">
        <v>100000</v>
      </c>
      <c r="E588" s="2">
        <v>64800</v>
      </c>
      <c r="F588" s="1">
        <v>50</v>
      </c>
      <c r="G588" s="1">
        <v>22</v>
      </c>
      <c r="H588" s="2" t="s">
        <v>26</v>
      </c>
      <c r="J588" s="2" t="s">
        <v>26</v>
      </c>
      <c r="K588" s="2">
        <v>10000</v>
      </c>
      <c r="L588" s="2" t="s">
        <v>26</v>
      </c>
      <c r="M588" s="1">
        <v>2895</v>
      </c>
      <c r="N588" t="s">
        <v>35</v>
      </c>
      <c r="O588" s="5">
        <f>EDATE(O587,1)</f>
        <v>41365</v>
      </c>
      <c r="P588">
        <v>22</v>
      </c>
      <c r="Q588">
        <v>23</v>
      </c>
      <c r="R588" s="2">
        <f>PMT((0.1/12),50,-10000,0,0)</f>
        <v>245.37214109460174</v>
      </c>
      <c r="S588">
        <v>50</v>
      </c>
      <c r="T588" s="2">
        <v>245.37214109460174</v>
      </c>
      <c r="U588" t="s">
        <v>29</v>
      </c>
      <c r="V588" t="s">
        <v>29</v>
      </c>
      <c r="W588">
        <v>0</v>
      </c>
      <c r="X588">
        <v>0</v>
      </c>
      <c r="Y588">
        <v>0</v>
      </c>
    </row>
    <row r="589" spans="1:25" x14ac:dyDescent="0.25">
      <c r="A589">
        <v>3</v>
      </c>
      <c r="B589" s="1">
        <v>1010</v>
      </c>
      <c r="C589" s="2" t="s">
        <v>36</v>
      </c>
      <c r="D589" s="2">
        <v>100000</v>
      </c>
      <c r="E589" s="2">
        <v>63200</v>
      </c>
      <c r="F589" s="1">
        <v>50</v>
      </c>
      <c r="G589" s="1">
        <v>23</v>
      </c>
      <c r="H589" s="2" t="s">
        <v>26</v>
      </c>
      <c r="J589" s="2" t="s">
        <v>26</v>
      </c>
      <c r="K589" s="2">
        <v>10000</v>
      </c>
      <c r="L589" s="2" t="s">
        <v>26</v>
      </c>
      <c r="M589" s="1">
        <v>2895</v>
      </c>
      <c r="N589" t="s">
        <v>35</v>
      </c>
      <c r="O589" s="5">
        <f>EDATE(O588,1)</f>
        <v>41395</v>
      </c>
      <c r="P589">
        <v>23</v>
      </c>
      <c r="Q589">
        <v>24</v>
      </c>
      <c r="R589" s="2">
        <f>PMT((0.1/12),50,-10000,0,0)</f>
        <v>245.37214109460174</v>
      </c>
      <c r="S589">
        <v>50</v>
      </c>
      <c r="T589" s="2">
        <v>245.37214109460174</v>
      </c>
      <c r="U589" t="s">
        <v>29</v>
      </c>
      <c r="V589" t="s">
        <v>29</v>
      </c>
      <c r="W589">
        <v>0</v>
      </c>
      <c r="X589">
        <v>0</v>
      </c>
      <c r="Y589">
        <v>0</v>
      </c>
    </row>
    <row r="590" spans="1:25" x14ac:dyDescent="0.25">
      <c r="A590">
        <v>3</v>
      </c>
      <c r="B590" s="1">
        <v>1010</v>
      </c>
      <c r="C590" s="2" t="s">
        <v>36</v>
      </c>
      <c r="D590" s="2">
        <v>100000</v>
      </c>
      <c r="E590" s="2">
        <v>61600</v>
      </c>
      <c r="F590" s="1">
        <v>50</v>
      </c>
      <c r="G590" s="1">
        <v>24</v>
      </c>
      <c r="H590" s="2" t="s">
        <v>26</v>
      </c>
      <c r="J590" s="2" t="s">
        <v>26</v>
      </c>
      <c r="K590" s="2">
        <v>10000</v>
      </c>
      <c r="L590" s="2" t="s">
        <v>26</v>
      </c>
      <c r="M590" s="1">
        <v>2895</v>
      </c>
      <c r="N590" t="s">
        <v>35</v>
      </c>
      <c r="O590" s="5">
        <f>EDATE(O589,1)</f>
        <v>41426</v>
      </c>
      <c r="P590">
        <v>24</v>
      </c>
      <c r="Q590">
        <v>25</v>
      </c>
      <c r="R590" s="2">
        <f>PMT((0.1/12),50,-10000,0,0)</f>
        <v>245.37214109460174</v>
      </c>
      <c r="S590">
        <v>50</v>
      </c>
      <c r="T590" s="2">
        <v>245.37214109460174</v>
      </c>
      <c r="U590" t="s">
        <v>29</v>
      </c>
      <c r="V590" t="s">
        <v>29</v>
      </c>
      <c r="W590">
        <v>0</v>
      </c>
      <c r="X590">
        <v>0</v>
      </c>
      <c r="Y590">
        <v>0</v>
      </c>
    </row>
    <row r="591" spans="1:25" x14ac:dyDescent="0.25">
      <c r="A591">
        <v>3</v>
      </c>
      <c r="B591" s="1">
        <v>1010</v>
      </c>
      <c r="C591" s="2" t="s">
        <v>36</v>
      </c>
      <c r="D591" s="2">
        <v>100000</v>
      </c>
      <c r="E591" s="2">
        <v>60000</v>
      </c>
      <c r="F591" s="1">
        <v>50</v>
      </c>
      <c r="G591" s="1">
        <v>25</v>
      </c>
      <c r="H591" s="2" t="s">
        <v>26</v>
      </c>
      <c r="J591" s="2" t="s">
        <v>26</v>
      </c>
      <c r="K591" s="2">
        <v>10000</v>
      </c>
      <c r="L591" s="2" t="s">
        <v>26</v>
      </c>
      <c r="M591" s="1">
        <v>2895</v>
      </c>
      <c r="N591" t="s">
        <v>35</v>
      </c>
      <c r="O591" s="5">
        <f>EDATE(O590,1)</f>
        <v>41456</v>
      </c>
      <c r="P591">
        <v>25</v>
      </c>
      <c r="Q591">
        <v>26</v>
      </c>
      <c r="R591" s="2">
        <f>PMT((0.1/12),50,-10000,0,0)</f>
        <v>245.37214109460174</v>
      </c>
      <c r="S591">
        <v>50</v>
      </c>
      <c r="T591" s="2">
        <v>245.37214109460174</v>
      </c>
      <c r="U591" t="s">
        <v>29</v>
      </c>
      <c r="V591" t="s">
        <v>29</v>
      </c>
      <c r="W591">
        <v>0</v>
      </c>
      <c r="X591">
        <v>0</v>
      </c>
      <c r="Y591">
        <v>0</v>
      </c>
    </row>
    <row r="592" spans="1:25" x14ac:dyDescent="0.25">
      <c r="A592">
        <v>3</v>
      </c>
      <c r="B592" s="1">
        <v>1010</v>
      </c>
      <c r="C592" s="2" t="s">
        <v>36</v>
      </c>
      <c r="D592" s="2">
        <v>100000</v>
      </c>
      <c r="E592" s="2">
        <v>58400</v>
      </c>
      <c r="F592" s="1">
        <v>50</v>
      </c>
      <c r="G592" s="1">
        <v>26</v>
      </c>
      <c r="H592" s="2" t="s">
        <v>26</v>
      </c>
      <c r="J592" s="2" t="s">
        <v>26</v>
      </c>
      <c r="K592" s="2">
        <v>10000</v>
      </c>
      <c r="L592" s="2" t="s">
        <v>26</v>
      </c>
      <c r="M592" s="1">
        <v>2895</v>
      </c>
      <c r="N592" t="s">
        <v>35</v>
      </c>
      <c r="O592" s="5">
        <f>EDATE(O591,1)</f>
        <v>41487</v>
      </c>
      <c r="P592">
        <v>26</v>
      </c>
      <c r="Q592">
        <v>27</v>
      </c>
      <c r="R592" s="2">
        <f>PMT((0.1/12),50,-10000,0,0)</f>
        <v>245.37214109460174</v>
      </c>
      <c r="S592">
        <v>50</v>
      </c>
      <c r="T592" s="2">
        <v>245.37214109460174</v>
      </c>
      <c r="U592" t="s">
        <v>29</v>
      </c>
      <c r="V592" t="s">
        <v>29</v>
      </c>
      <c r="W592">
        <v>0</v>
      </c>
      <c r="X592">
        <v>0</v>
      </c>
      <c r="Y592">
        <v>0</v>
      </c>
    </row>
    <row r="593" spans="1:25" x14ac:dyDescent="0.25">
      <c r="A593">
        <v>3</v>
      </c>
      <c r="B593" s="1">
        <v>1010</v>
      </c>
      <c r="C593" s="2" t="s">
        <v>36</v>
      </c>
      <c r="D593" s="2">
        <v>100000</v>
      </c>
      <c r="E593" s="2">
        <v>56800</v>
      </c>
      <c r="F593" s="1">
        <v>50</v>
      </c>
      <c r="G593" s="1">
        <v>27</v>
      </c>
      <c r="H593" s="2" t="s">
        <v>26</v>
      </c>
      <c r="J593" s="2" t="s">
        <v>26</v>
      </c>
      <c r="K593" s="2">
        <v>10000</v>
      </c>
      <c r="L593" s="2" t="s">
        <v>26</v>
      </c>
      <c r="M593" s="1">
        <v>2895</v>
      </c>
      <c r="N593" t="s">
        <v>35</v>
      </c>
      <c r="O593" s="5">
        <f>EDATE(O592,1)</f>
        <v>41518</v>
      </c>
      <c r="P593">
        <v>27</v>
      </c>
      <c r="Q593">
        <v>28</v>
      </c>
      <c r="R593" s="2">
        <f>PMT((0.1/12),50,-10000,0,0)</f>
        <v>245.37214109460174</v>
      </c>
      <c r="S593">
        <v>50</v>
      </c>
      <c r="T593" s="2">
        <v>245.37214109460174</v>
      </c>
      <c r="U593" t="s">
        <v>29</v>
      </c>
      <c r="V593" t="s">
        <v>29</v>
      </c>
      <c r="W593">
        <v>0</v>
      </c>
      <c r="X593">
        <v>0</v>
      </c>
      <c r="Y593">
        <v>0</v>
      </c>
    </row>
    <row r="594" spans="1:25" x14ac:dyDescent="0.25">
      <c r="A594">
        <v>3</v>
      </c>
      <c r="B594" s="1">
        <v>1010</v>
      </c>
      <c r="C594" s="2" t="s">
        <v>36</v>
      </c>
      <c r="D594" s="2">
        <v>100000</v>
      </c>
      <c r="E594" s="2">
        <v>55200</v>
      </c>
      <c r="F594" s="1">
        <v>50</v>
      </c>
      <c r="G594" s="1">
        <v>28</v>
      </c>
      <c r="H594" s="2" t="s">
        <v>26</v>
      </c>
      <c r="J594" s="2" t="s">
        <v>26</v>
      </c>
      <c r="K594" s="2">
        <v>10000</v>
      </c>
      <c r="L594" s="2" t="s">
        <v>26</v>
      </c>
      <c r="M594" s="1">
        <v>2895</v>
      </c>
      <c r="N594" t="s">
        <v>35</v>
      </c>
      <c r="O594" s="5">
        <f>EDATE(O593,1)</f>
        <v>41548</v>
      </c>
      <c r="P594">
        <v>28</v>
      </c>
      <c r="Q594">
        <v>29</v>
      </c>
      <c r="R594" s="2">
        <f>PMT((0.1/12),50,-10000,0,0)</f>
        <v>245.37214109460174</v>
      </c>
      <c r="S594">
        <v>50</v>
      </c>
      <c r="T594" s="2">
        <v>245.37214109460174</v>
      </c>
      <c r="U594" t="s">
        <v>29</v>
      </c>
      <c r="V594" t="s">
        <v>29</v>
      </c>
      <c r="W594">
        <v>0</v>
      </c>
      <c r="X594">
        <v>0</v>
      </c>
      <c r="Y594">
        <v>0</v>
      </c>
    </row>
    <row r="595" spans="1:25" x14ac:dyDescent="0.25">
      <c r="A595">
        <v>3</v>
      </c>
      <c r="B595" s="1">
        <v>1010</v>
      </c>
      <c r="C595" s="2" t="s">
        <v>36</v>
      </c>
      <c r="D595" s="2">
        <v>100000</v>
      </c>
      <c r="E595" s="2">
        <v>53600</v>
      </c>
      <c r="F595" s="1">
        <v>50</v>
      </c>
      <c r="G595" s="1">
        <v>29</v>
      </c>
      <c r="H595" s="2" t="s">
        <v>26</v>
      </c>
      <c r="J595" s="2" t="s">
        <v>26</v>
      </c>
      <c r="K595" s="2">
        <v>10000</v>
      </c>
      <c r="L595" s="2" t="s">
        <v>26</v>
      </c>
      <c r="M595" s="1">
        <v>2895</v>
      </c>
      <c r="N595" t="s">
        <v>35</v>
      </c>
      <c r="O595" s="5">
        <f>EDATE(O594,1)</f>
        <v>41579</v>
      </c>
      <c r="P595">
        <v>29</v>
      </c>
      <c r="Q595">
        <v>30</v>
      </c>
      <c r="R595" s="2">
        <f>PMT((0.1/12),50,-10000,0,0)</f>
        <v>245.37214109460174</v>
      </c>
      <c r="S595">
        <v>50</v>
      </c>
      <c r="T595" s="2">
        <v>245.37214109460174</v>
      </c>
      <c r="U595" t="s">
        <v>29</v>
      </c>
      <c r="V595" t="s">
        <v>29</v>
      </c>
      <c r="W595">
        <v>0</v>
      </c>
      <c r="X595">
        <v>0</v>
      </c>
      <c r="Y595">
        <v>0</v>
      </c>
    </row>
    <row r="596" spans="1:25" x14ac:dyDescent="0.25">
      <c r="A596">
        <v>3</v>
      </c>
      <c r="B596" s="1">
        <v>1010</v>
      </c>
      <c r="C596" s="2" t="s">
        <v>36</v>
      </c>
      <c r="D596" s="2">
        <v>100000</v>
      </c>
      <c r="E596" s="2">
        <v>52000</v>
      </c>
      <c r="F596" s="1">
        <v>50</v>
      </c>
      <c r="G596" s="1">
        <v>30</v>
      </c>
      <c r="H596" s="2" t="s">
        <v>26</v>
      </c>
      <c r="J596" s="2" t="s">
        <v>26</v>
      </c>
      <c r="K596" s="2">
        <v>10000</v>
      </c>
      <c r="L596" s="2" t="s">
        <v>26</v>
      </c>
      <c r="M596" s="1">
        <v>2895</v>
      </c>
      <c r="N596" t="s">
        <v>35</v>
      </c>
      <c r="O596" s="5">
        <f>EDATE(O595,1)</f>
        <v>41609</v>
      </c>
      <c r="P596">
        <v>30</v>
      </c>
      <c r="Q596">
        <v>31</v>
      </c>
      <c r="R596" s="2">
        <f>PMT((0.1/12),50,-10000,0,0)</f>
        <v>245.37214109460174</v>
      </c>
      <c r="S596">
        <v>50</v>
      </c>
      <c r="T596" s="2">
        <v>245.37214109460174</v>
      </c>
      <c r="U596" t="s">
        <v>29</v>
      </c>
      <c r="V596" t="s">
        <v>29</v>
      </c>
      <c r="W596">
        <v>0</v>
      </c>
      <c r="X596">
        <v>0</v>
      </c>
      <c r="Y596">
        <v>0</v>
      </c>
    </row>
    <row r="597" spans="1:25" x14ac:dyDescent="0.25">
      <c r="A597">
        <v>3</v>
      </c>
      <c r="B597" s="1">
        <v>1010</v>
      </c>
      <c r="C597" s="2" t="s">
        <v>36</v>
      </c>
      <c r="D597" s="2">
        <v>100000</v>
      </c>
      <c r="E597" s="2">
        <v>50400</v>
      </c>
      <c r="F597" s="1">
        <v>50</v>
      </c>
      <c r="G597" s="1">
        <v>31</v>
      </c>
      <c r="H597" s="2" t="s">
        <v>26</v>
      </c>
      <c r="J597" s="2" t="s">
        <v>26</v>
      </c>
      <c r="K597" s="2">
        <v>10000</v>
      </c>
      <c r="L597" s="2" t="s">
        <v>26</v>
      </c>
      <c r="M597" s="1">
        <v>2895</v>
      </c>
      <c r="N597" t="s">
        <v>35</v>
      </c>
      <c r="O597" s="5">
        <f>EDATE(O596,1)</f>
        <v>41640</v>
      </c>
      <c r="P597">
        <v>31</v>
      </c>
      <c r="Q597">
        <v>32</v>
      </c>
      <c r="R597" s="2">
        <f>PMT((0.1/12),50,-10000,0,0)</f>
        <v>245.37214109460174</v>
      </c>
      <c r="S597">
        <v>50</v>
      </c>
      <c r="T597" s="2">
        <v>245.37214109460174</v>
      </c>
      <c r="U597" t="s">
        <v>29</v>
      </c>
      <c r="V597" t="s">
        <v>29</v>
      </c>
      <c r="W597">
        <v>0</v>
      </c>
      <c r="X597">
        <v>0</v>
      </c>
      <c r="Y597">
        <v>0</v>
      </c>
    </row>
    <row r="598" spans="1:25" x14ac:dyDescent="0.25">
      <c r="A598">
        <v>3</v>
      </c>
      <c r="B598" s="1">
        <v>1010</v>
      </c>
      <c r="C598" s="2" t="s">
        <v>36</v>
      </c>
      <c r="D598" s="2">
        <v>100000</v>
      </c>
      <c r="E598" s="2">
        <v>48800</v>
      </c>
      <c r="F598" s="1">
        <v>50</v>
      </c>
      <c r="G598" s="1">
        <v>32</v>
      </c>
      <c r="H598" s="2" t="s">
        <v>26</v>
      </c>
      <c r="J598" s="2" t="s">
        <v>26</v>
      </c>
      <c r="K598" s="2">
        <v>10000</v>
      </c>
      <c r="L598" s="2" t="s">
        <v>26</v>
      </c>
      <c r="M598" s="1">
        <v>2895</v>
      </c>
      <c r="N598" t="s">
        <v>35</v>
      </c>
      <c r="O598" s="5">
        <f>EDATE(O597,1)</f>
        <v>41671</v>
      </c>
      <c r="P598">
        <v>32</v>
      </c>
      <c r="Q598">
        <v>33</v>
      </c>
      <c r="R598" s="2">
        <f>PMT((0.1/12),50,-10000,0,0)</f>
        <v>245.37214109460174</v>
      </c>
      <c r="S598">
        <v>50</v>
      </c>
      <c r="T598" s="2">
        <v>245.37214109460174</v>
      </c>
      <c r="U598" t="s">
        <v>29</v>
      </c>
      <c r="V598" t="s">
        <v>29</v>
      </c>
      <c r="W598">
        <v>0</v>
      </c>
      <c r="X598">
        <v>0</v>
      </c>
      <c r="Y598">
        <v>0</v>
      </c>
    </row>
    <row r="599" spans="1:25" x14ac:dyDescent="0.25">
      <c r="A599">
        <v>3</v>
      </c>
      <c r="B599" s="1">
        <v>1010</v>
      </c>
      <c r="C599" s="2" t="s">
        <v>36</v>
      </c>
      <c r="D599" s="2">
        <v>100000</v>
      </c>
      <c r="E599" s="2">
        <v>47200</v>
      </c>
      <c r="F599" s="1">
        <v>50</v>
      </c>
      <c r="G599" s="1">
        <v>33</v>
      </c>
      <c r="H599" s="2" t="s">
        <v>26</v>
      </c>
      <c r="J599" s="2" t="s">
        <v>26</v>
      </c>
      <c r="K599" s="2">
        <v>10000</v>
      </c>
      <c r="L599" s="2" t="s">
        <v>26</v>
      </c>
      <c r="M599" s="1">
        <v>2895</v>
      </c>
      <c r="N599" t="s">
        <v>35</v>
      </c>
      <c r="O599" s="5">
        <f>EDATE(O598,1)</f>
        <v>41699</v>
      </c>
      <c r="P599">
        <v>33</v>
      </c>
      <c r="Q599">
        <v>34</v>
      </c>
      <c r="R599" s="2">
        <f>PMT((0.1/12),50,-10000,0,0)</f>
        <v>245.37214109460174</v>
      </c>
      <c r="S599">
        <v>50</v>
      </c>
      <c r="T599" s="2">
        <v>245.37214109460174</v>
      </c>
      <c r="U599" t="s">
        <v>29</v>
      </c>
      <c r="V599" t="s">
        <v>29</v>
      </c>
      <c r="W599">
        <v>0</v>
      </c>
      <c r="X599">
        <v>0</v>
      </c>
      <c r="Y599">
        <v>0</v>
      </c>
    </row>
    <row r="600" spans="1:25" x14ac:dyDescent="0.25">
      <c r="A600">
        <v>3</v>
      </c>
      <c r="B600" s="1">
        <v>1010</v>
      </c>
      <c r="C600" s="2" t="s">
        <v>36</v>
      </c>
      <c r="D600" s="2">
        <v>100000</v>
      </c>
      <c r="E600" s="2">
        <v>45600</v>
      </c>
      <c r="F600" s="1">
        <v>50</v>
      </c>
      <c r="G600" s="1">
        <v>34</v>
      </c>
      <c r="H600" s="2" t="s">
        <v>26</v>
      </c>
      <c r="J600" s="2" t="s">
        <v>26</v>
      </c>
      <c r="K600" s="2">
        <v>10000</v>
      </c>
      <c r="L600" s="2" t="s">
        <v>26</v>
      </c>
      <c r="M600" s="1">
        <v>2895</v>
      </c>
      <c r="N600" t="s">
        <v>35</v>
      </c>
      <c r="O600" s="5">
        <f>EDATE(O599,1)</f>
        <v>41730</v>
      </c>
      <c r="P600">
        <v>34</v>
      </c>
      <c r="Q600">
        <v>35</v>
      </c>
      <c r="R600" s="2">
        <f>PMT((0.1/12),50,-10000,0,0)</f>
        <v>245.37214109460174</v>
      </c>
      <c r="S600">
        <v>50</v>
      </c>
      <c r="T600" s="2">
        <v>245.37214109460174</v>
      </c>
      <c r="U600" t="s">
        <v>29</v>
      </c>
      <c r="V600" t="s">
        <v>29</v>
      </c>
      <c r="W600">
        <v>0</v>
      </c>
      <c r="X600">
        <v>0</v>
      </c>
      <c r="Y600">
        <v>0</v>
      </c>
    </row>
    <row r="601" spans="1:25" x14ac:dyDescent="0.25">
      <c r="A601">
        <v>3</v>
      </c>
      <c r="B601" s="1">
        <v>1010</v>
      </c>
      <c r="C601" s="2" t="s">
        <v>36</v>
      </c>
      <c r="D601" s="2">
        <v>100000</v>
      </c>
      <c r="E601" s="2">
        <v>44000</v>
      </c>
      <c r="F601" s="1">
        <v>50</v>
      </c>
      <c r="G601" s="1">
        <v>35</v>
      </c>
      <c r="H601" s="2" t="s">
        <v>26</v>
      </c>
      <c r="J601" s="2" t="s">
        <v>26</v>
      </c>
      <c r="K601" s="2">
        <v>10000</v>
      </c>
      <c r="L601" s="2" t="s">
        <v>26</v>
      </c>
      <c r="M601" s="1">
        <v>2895</v>
      </c>
      <c r="N601" t="s">
        <v>35</v>
      </c>
      <c r="O601" s="5">
        <f>EDATE(O600,1)</f>
        <v>41760</v>
      </c>
      <c r="P601">
        <v>35</v>
      </c>
      <c r="Q601">
        <v>36</v>
      </c>
      <c r="R601" s="2">
        <f>PMT((0.1/12),50,-10000,0,0)</f>
        <v>245.37214109460174</v>
      </c>
      <c r="S601">
        <v>50</v>
      </c>
      <c r="T601" s="2">
        <v>245.37214109460174</v>
      </c>
      <c r="U601" t="s">
        <v>29</v>
      </c>
      <c r="V601" t="s">
        <v>29</v>
      </c>
      <c r="W601">
        <v>0</v>
      </c>
      <c r="X601">
        <v>0</v>
      </c>
      <c r="Y601">
        <v>0</v>
      </c>
    </row>
    <row r="602" spans="1:25" x14ac:dyDescent="0.25">
      <c r="A602">
        <v>3</v>
      </c>
      <c r="B602" s="1">
        <v>1010</v>
      </c>
      <c r="C602" s="2" t="s">
        <v>36</v>
      </c>
      <c r="D602" s="2">
        <v>100000</v>
      </c>
      <c r="E602" s="2">
        <v>42400</v>
      </c>
      <c r="F602" s="1">
        <v>50</v>
      </c>
      <c r="G602" s="1">
        <v>36</v>
      </c>
      <c r="H602" s="2" t="s">
        <v>26</v>
      </c>
      <c r="J602" s="2" t="s">
        <v>26</v>
      </c>
      <c r="K602" s="2">
        <v>10000</v>
      </c>
      <c r="L602" s="2" t="s">
        <v>26</v>
      </c>
      <c r="M602" s="1">
        <v>2895</v>
      </c>
      <c r="N602" t="s">
        <v>35</v>
      </c>
      <c r="O602" s="5">
        <f>EDATE(O601,1)</f>
        <v>41791</v>
      </c>
      <c r="P602">
        <v>36</v>
      </c>
      <c r="Q602">
        <v>37</v>
      </c>
      <c r="R602" s="2">
        <f>PMT((0.1/12),50,-10000,0,0)</f>
        <v>245.37214109460174</v>
      </c>
      <c r="S602">
        <v>50</v>
      </c>
      <c r="T602" s="2">
        <v>245.37214109460174</v>
      </c>
      <c r="U602" t="s">
        <v>29</v>
      </c>
      <c r="V602" t="s">
        <v>29</v>
      </c>
      <c r="W602">
        <v>0</v>
      </c>
      <c r="X602">
        <v>0</v>
      </c>
      <c r="Y602">
        <v>0</v>
      </c>
    </row>
    <row r="603" spans="1:25" x14ac:dyDescent="0.25">
      <c r="A603">
        <v>3</v>
      </c>
      <c r="B603" s="1">
        <v>1010</v>
      </c>
      <c r="C603" s="2" t="s">
        <v>36</v>
      </c>
      <c r="D603" s="2">
        <v>100000</v>
      </c>
      <c r="E603" s="2">
        <v>40800</v>
      </c>
      <c r="F603" s="1">
        <v>50</v>
      </c>
      <c r="G603" s="1">
        <v>37</v>
      </c>
      <c r="H603" s="2" t="s">
        <v>26</v>
      </c>
      <c r="J603" s="2" t="s">
        <v>26</v>
      </c>
      <c r="K603" s="2">
        <v>10000</v>
      </c>
      <c r="L603" s="2" t="s">
        <v>26</v>
      </c>
      <c r="M603" s="1">
        <v>2895</v>
      </c>
      <c r="N603" t="s">
        <v>35</v>
      </c>
      <c r="O603" s="5">
        <f>EDATE(O602,1)</f>
        <v>41821</v>
      </c>
      <c r="P603">
        <v>37</v>
      </c>
      <c r="Q603">
        <v>38</v>
      </c>
      <c r="R603" s="2">
        <f>PMT((0.1/12),50,-10000,0,0)</f>
        <v>245.37214109460174</v>
      </c>
      <c r="S603">
        <v>50</v>
      </c>
      <c r="T603" s="2">
        <v>245.37214109460174</v>
      </c>
      <c r="U603" t="s">
        <v>29</v>
      </c>
      <c r="V603" t="s">
        <v>29</v>
      </c>
      <c r="W603">
        <v>0</v>
      </c>
      <c r="X603">
        <v>0</v>
      </c>
      <c r="Y603">
        <v>0</v>
      </c>
    </row>
    <row r="604" spans="1:25" x14ac:dyDescent="0.25">
      <c r="A604">
        <v>3</v>
      </c>
      <c r="B604" s="1">
        <v>1010</v>
      </c>
      <c r="C604" s="2" t="s">
        <v>36</v>
      </c>
      <c r="D604" s="2">
        <v>100000</v>
      </c>
      <c r="E604" s="2">
        <v>39200</v>
      </c>
      <c r="F604" s="1">
        <v>50</v>
      </c>
      <c r="G604" s="1">
        <v>38</v>
      </c>
      <c r="H604" s="2" t="s">
        <v>26</v>
      </c>
      <c r="J604" s="2" t="s">
        <v>26</v>
      </c>
      <c r="K604" s="2">
        <v>10000</v>
      </c>
      <c r="L604" s="2" t="s">
        <v>26</v>
      </c>
      <c r="M604" s="1">
        <v>2895</v>
      </c>
      <c r="N604" t="s">
        <v>35</v>
      </c>
      <c r="O604" s="5">
        <f>EDATE(O603,1)</f>
        <v>41852</v>
      </c>
      <c r="P604">
        <v>38</v>
      </c>
      <c r="Q604">
        <v>39</v>
      </c>
      <c r="R604" s="2">
        <f>PMT((0.1/12),50,-10000,0,0)</f>
        <v>245.37214109460174</v>
      </c>
      <c r="S604">
        <v>50</v>
      </c>
      <c r="T604" s="2">
        <v>245.37214109460174</v>
      </c>
      <c r="U604" t="s">
        <v>29</v>
      </c>
      <c r="V604" t="s">
        <v>29</v>
      </c>
      <c r="W604">
        <v>0</v>
      </c>
      <c r="X604">
        <v>0</v>
      </c>
      <c r="Y604">
        <v>0</v>
      </c>
    </row>
    <row r="605" spans="1:25" x14ac:dyDescent="0.25">
      <c r="A605">
        <v>3</v>
      </c>
      <c r="B605" s="1">
        <v>1010</v>
      </c>
      <c r="C605" s="2" t="s">
        <v>36</v>
      </c>
      <c r="D605" s="2">
        <v>100000</v>
      </c>
      <c r="E605" s="2">
        <v>37600</v>
      </c>
      <c r="F605" s="1">
        <v>50</v>
      </c>
      <c r="G605" s="1">
        <v>39</v>
      </c>
      <c r="H605" s="2" t="s">
        <v>26</v>
      </c>
      <c r="J605" s="2" t="s">
        <v>26</v>
      </c>
      <c r="K605" s="2">
        <v>10000</v>
      </c>
      <c r="L605" s="2" t="s">
        <v>26</v>
      </c>
      <c r="M605" s="1">
        <v>2895</v>
      </c>
      <c r="N605" t="s">
        <v>35</v>
      </c>
      <c r="O605" s="5">
        <f>EDATE(O604,1)</f>
        <v>41883</v>
      </c>
      <c r="P605">
        <v>39</v>
      </c>
      <c r="Q605">
        <v>40</v>
      </c>
      <c r="R605" s="2">
        <f>PMT((0.1/12),50,-10000,0,0)</f>
        <v>245.37214109460174</v>
      </c>
      <c r="S605">
        <v>50</v>
      </c>
      <c r="T605" s="2">
        <v>245.37214109460174</v>
      </c>
      <c r="U605" t="s">
        <v>29</v>
      </c>
      <c r="V605" t="s">
        <v>29</v>
      </c>
      <c r="W605">
        <v>0</v>
      </c>
      <c r="X605">
        <v>0</v>
      </c>
      <c r="Y605">
        <v>0</v>
      </c>
    </row>
    <row r="606" spans="1:25" x14ac:dyDescent="0.25">
      <c r="A606">
        <v>3</v>
      </c>
      <c r="B606" s="1">
        <v>1010</v>
      </c>
      <c r="C606" s="2" t="s">
        <v>36</v>
      </c>
      <c r="D606" s="2">
        <v>100000</v>
      </c>
      <c r="E606" s="2">
        <v>36000</v>
      </c>
      <c r="F606" s="1">
        <v>50</v>
      </c>
      <c r="G606" s="1">
        <v>40</v>
      </c>
      <c r="H606" s="2" t="s">
        <v>26</v>
      </c>
      <c r="J606" s="2" t="s">
        <v>26</v>
      </c>
      <c r="K606" s="2">
        <v>10000</v>
      </c>
      <c r="L606" s="2" t="s">
        <v>26</v>
      </c>
      <c r="M606" s="1">
        <v>2895</v>
      </c>
      <c r="N606" t="s">
        <v>35</v>
      </c>
      <c r="O606" s="5">
        <f>EDATE(O605,1)</f>
        <v>41913</v>
      </c>
      <c r="P606">
        <v>40</v>
      </c>
      <c r="Q606">
        <v>41</v>
      </c>
      <c r="R606" s="2">
        <f>PMT((0.1/12),50,-10000,0,0)</f>
        <v>245.37214109460174</v>
      </c>
      <c r="S606">
        <v>50</v>
      </c>
      <c r="T606" s="2">
        <v>245.37214109460174</v>
      </c>
      <c r="U606" t="s">
        <v>29</v>
      </c>
      <c r="V606" t="s">
        <v>29</v>
      </c>
      <c r="W606">
        <v>0</v>
      </c>
      <c r="X606">
        <v>0</v>
      </c>
      <c r="Y606">
        <v>0</v>
      </c>
    </row>
    <row r="607" spans="1:25" x14ac:dyDescent="0.25">
      <c r="A607">
        <v>3</v>
      </c>
      <c r="B607" s="1">
        <v>1010</v>
      </c>
      <c r="C607" s="2" t="s">
        <v>36</v>
      </c>
      <c r="D607" s="2">
        <v>100000</v>
      </c>
      <c r="E607" s="2">
        <v>34400</v>
      </c>
      <c r="F607" s="1">
        <v>50</v>
      </c>
      <c r="G607" s="1">
        <v>41</v>
      </c>
      <c r="H607" s="2" t="s">
        <v>26</v>
      </c>
      <c r="J607" s="2" t="s">
        <v>26</v>
      </c>
      <c r="K607" s="2">
        <v>10000</v>
      </c>
      <c r="L607" s="2" t="s">
        <v>26</v>
      </c>
      <c r="M607" s="1">
        <v>2895</v>
      </c>
      <c r="N607" t="s">
        <v>35</v>
      </c>
      <c r="O607" s="5">
        <f>EDATE(O606,1)</f>
        <v>41944</v>
      </c>
      <c r="P607">
        <v>41</v>
      </c>
      <c r="Q607">
        <v>42</v>
      </c>
      <c r="R607" s="2">
        <f>PMT((0.1/12),50,-10000,0,0)</f>
        <v>245.37214109460174</v>
      </c>
      <c r="S607">
        <v>50</v>
      </c>
      <c r="T607" s="2">
        <v>245.37214109460174</v>
      </c>
      <c r="U607" t="s">
        <v>29</v>
      </c>
      <c r="V607" t="s">
        <v>29</v>
      </c>
      <c r="W607">
        <v>0</v>
      </c>
      <c r="X607">
        <v>0</v>
      </c>
      <c r="Y607">
        <v>0</v>
      </c>
    </row>
    <row r="608" spans="1:25" x14ac:dyDescent="0.25">
      <c r="A608">
        <v>3</v>
      </c>
      <c r="B608" s="1">
        <v>1010</v>
      </c>
      <c r="C608" s="2" t="s">
        <v>36</v>
      </c>
      <c r="D608" s="2">
        <v>100000</v>
      </c>
      <c r="E608" s="2">
        <v>32800</v>
      </c>
      <c r="F608" s="1">
        <v>50</v>
      </c>
      <c r="G608" s="1">
        <v>42</v>
      </c>
      <c r="H608" s="2" t="s">
        <v>26</v>
      </c>
      <c r="J608" s="2" t="s">
        <v>26</v>
      </c>
      <c r="K608" s="2">
        <v>10000</v>
      </c>
      <c r="L608" s="2" t="s">
        <v>26</v>
      </c>
      <c r="M608" s="1">
        <v>2895</v>
      </c>
      <c r="N608" t="s">
        <v>35</v>
      </c>
      <c r="O608" s="5">
        <f>EDATE(O607,1)</f>
        <v>41974</v>
      </c>
      <c r="P608">
        <v>42</v>
      </c>
      <c r="Q608">
        <v>43</v>
      </c>
      <c r="R608" s="2">
        <f>PMT((0.1/12),50,-10000,0,0)</f>
        <v>245.37214109460174</v>
      </c>
      <c r="S608">
        <v>50</v>
      </c>
      <c r="T608" s="2">
        <v>245.37214109460174</v>
      </c>
      <c r="U608" t="s">
        <v>29</v>
      </c>
      <c r="V608" t="s">
        <v>29</v>
      </c>
      <c r="W608">
        <v>0</v>
      </c>
      <c r="X608">
        <v>0</v>
      </c>
      <c r="Y608">
        <v>0</v>
      </c>
    </row>
    <row r="609" spans="1:25" x14ac:dyDescent="0.25">
      <c r="A609">
        <v>3</v>
      </c>
      <c r="B609" s="1">
        <v>1010</v>
      </c>
      <c r="C609" s="2" t="s">
        <v>36</v>
      </c>
      <c r="D609" s="2">
        <v>100000</v>
      </c>
      <c r="E609" s="2">
        <v>31200</v>
      </c>
      <c r="F609" s="1">
        <v>50</v>
      </c>
      <c r="G609" s="1">
        <v>43</v>
      </c>
      <c r="H609" s="2" t="s">
        <v>26</v>
      </c>
      <c r="J609" s="2" t="s">
        <v>26</v>
      </c>
      <c r="K609" s="2">
        <v>10000</v>
      </c>
      <c r="L609" s="2" t="s">
        <v>26</v>
      </c>
      <c r="M609" s="1">
        <v>2895</v>
      </c>
      <c r="N609" t="s">
        <v>35</v>
      </c>
      <c r="O609" s="5">
        <f>EDATE(O608,1)</f>
        <v>42005</v>
      </c>
      <c r="P609">
        <v>43</v>
      </c>
      <c r="Q609">
        <v>44</v>
      </c>
      <c r="R609" s="2">
        <f>PMT((0.1/12),50,-10000,0,0)</f>
        <v>245.37214109460174</v>
      </c>
      <c r="S609">
        <v>50</v>
      </c>
      <c r="T609" s="2">
        <v>245.37214109460174</v>
      </c>
      <c r="U609" t="s">
        <v>29</v>
      </c>
      <c r="V609" t="s">
        <v>29</v>
      </c>
      <c r="W609">
        <v>0</v>
      </c>
      <c r="X609">
        <v>0</v>
      </c>
      <c r="Y609">
        <v>0</v>
      </c>
    </row>
    <row r="610" spans="1:25" x14ac:dyDescent="0.25">
      <c r="A610">
        <v>3</v>
      </c>
      <c r="B610" s="1">
        <v>1010</v>
      </c>
      <c r="C610" s="2" t="s">
        <v>36</v>
      </c>
      <c r="D610" s="2">
        <v>100000</v>
      </c>
      <c r="E610" s="2">
        <v>29600</v>
      </c>
      <c r="F610" s="1">
        <v>50</v>
      </c>
      <c r="G610" s="1">
        <v>44</v>
      </c>
      <c r="H610" s="2" t="s">
        <v>26</v>
      </c>
      <c r="J610" s="2" t="s">
        <v>26</v>
      </c>
      <c r="K610" s="2">
        <v>10000</v>
      </c>
      <c r="L610" s="2" t="s">
        <v>26</v>
      </c>
      <c r="M610" s="1">
        <v>2895</v>
      </c>
      <c r="N610" t="s">
        <v>35</v>
      </c>
      <c r="O610" s="5">
        <f>EDATE(O609,1)</f>
        <v>42036</v>
      </c>
      <c r="P610">
        <v>44</v>
      </c>
      <c r="Q610">
        <v>45</v>
      </c>
      <c r="R610" s="2">
        <f>PMT((0.1/12),50,-10000,0,0)</f>
        <v>245.37214109460174</v>
      </c>
      <c r="S610">
        <v>50</v>
      </c>
      <c r="T610" s="2">
        <v>245.37214109460174</v>
      </c>
      <c r="U610" t="s">
        <v>29</v>
      </c>
      <c r="V610" t="s">
        <v>29</v>
      </c>
      <c r="W610">
        <v>0</v>
      </c>
      <c r="X610">
        <v>0</v>
      </c>
      <c r="Y610">
        <v>0</v>
      </c>
    </row>
    <row r="611" spans="1:25" x14ac:dyDescent="0.25">
      <c r="A611">
        <v>3</v>
      </c>
      <c r="B611" s="1">
        <v>1010</v>
      </c>
      <c r="C611" s="2" t="s">
        <v>36</v>
      </c>
      <c r="D611" s="2">
        <v>100000</v>
      </c>
      <c r="E611" s="2">
        <v>28000</v>
      </c>
      <c r="F611" s="1">
        <v>50</v>
      </c>
      <c r="G611" s="1">
        <v>45</v>
      </c>
      <c r="H611" s="2" t="s">
        <v>26</v>
      </c>
      <c r="J611" s="2" t="s">
        <v>26</v>
      </c>
      <c r="K611" s="2">
        <v>10000</v>
      </c>
      <c r="L611" s="2" t="s">
        <v>26</v>
      </c>
      <c r="M611" s="1">
        <v>2895</v>
      </c>
      <c r="N611" t="s">
        <v>35</v>
      </c>
      <c r="O611" s="5">
        <f>EDATE(O610,1)</f>
        <v>42064</v>
      </c>
      <c r="P611">
        <v>45</v>
      </c>
      <c r="Q611">
        <v>46</v>
      </c>
      <c r="R611" s="2">
        <f>PMT((0.1/12),50,-10000,0,0)</f>
        <v>245.37214109460174</v>
      </c>
      <c r="S611">
        <v>50</v>
      </c>
      <c r="T611" s="2">
        <v>245.37214109460174</v>
      </c>
      <c r="U611" t="s">
        <v>29</v>
      </c>
      <c r="V611" t="s">
        <v>29</v>
      </c>
      <c r="W611">
        <v>0</v>
      </c>
      <c r="X611">
        <v>0</v>
      </c>
      <c r="Y611">
        <v>0</v>
      </c>
    </row>
    <row r="612" spans="1:25" x14ac:dyDescent="0.25">
      <c r="A612">
        <v>3</v>
      </c>
      <c r="B612" s="1">
        <v>1010</v>
      </c>
      <c r="C612" s="2" t="s">
        <v>36</v>
      </c>
      <c r="D612" s="2">
        <v>100000</v>
      </c>
      <c r="E612" s="2">
        <v>26400</v>
      </c>
      <c r="F612" s="1">
        <v>50</v>
      </c>
      <c r="G612" s="1">
        <v>46</v>
      </c>
      <c r="H612" s="2" t="s">
        <v>26</v>
      </c>
      <c r="J612" s="2" t="s">
        <v>26</v>
      </c>
      <c r="K612" s="2">
        <v>10000</v>
      </c>
      <c r="L612" s="2" t="s">
        <v>26</v>
      </c>
      <c r="M612" s="1">
        <v>2895</v>
      </c>
      <c r="N612" t="s">
        <v>35</v>
      </c>
      <c r="O612" s="5">
        <f>EDATE(O611,1)</f>
        <v>42095</v>
      </c>
      <c r="P612">
        <v>46</v>
      </c>
      <c r="Q612">
        <v>47</v>
      </c>
      <c r="R612" s="2">
        <f>PMT((0.1/12),50,-10000,0,0)</f>
        <v>245.37214109460174</v>
      </c>
      <c r="S612">
        <v>50</v>
      </c>
      <c r="T612" s="2">
        <v>245.37214109460174</v>
      </c>
      <c r="U612" t="s">
        <v>29</v>
      </c>
      <c r="V612" t="s">
        <v>29</v>
      </c>
      <c r="W612">
        <v>0</v>
      </c>
      <c r="X612">
        <v>0</v>
      </c>
      <c r="Y612">
        <v>0</v>
      </c>
    </row>
    <row r="613" spans="1:25" x14ac:dyDescent="0.25">
      <c r="A613">
        <v>3</v>
      </c>
      <c r="B613" s="1">
        <v>1010</v>
      </c>
      <c r="C613" s="2" t="s">
        <v>36</v>
      </c>
      <c r="D613" s="2">
        <v>100000</v>
      </c>
      <c r="E613" s="2">
        <v>24800</v>
      </c>
      <c r="F613" s="1">
        <v>50</v>
      </c>
      <c r="G613" s="1">
        <v>47</v>
      </c>
      <c r="H613" s="2" t="s">
        <v>26</v>
      </c>
      <c r="J613" s="2" t="s">
        <v>26</v>
      </c>
      <c r="K613" s="2">
        <v>10000</v>
      </c>
      <c r="L613" s="2" t="s">
        <v>26</v>
      </c>
      <c r="M613" s="1">
        <v>2895</v>
      </c>
      <c r="N613" t="s">
        <v>35</v>
      </c>
      <c r="O613" s="5">
        <f>EDATE(O612,1)</f>
        <v>42125</v>
      </c>
      <c r="P613">
        <v>47</v>
      </c>
      <c r="Q613">
        <v>48</v>
      </c>
      <c r="R613" s="2">
        <f>PMT((0.1/12),50,-10000,0,0)</f>
        <v>245.37214109460174</v>
      </c>
      <c r="S613">
        <v>50</v>
      </c>
      <c r="T613" s="2">
        <v>245.37214109460174</v>
      </c>
      <c r="U613" t="s">
        <v>29</v>
      </c>
      <c r="V613" t="s">
        <v>29</v>
      </c>
      <c r="W613">
        <v>0</v>
      </c>
      <c r="X613">
        <v>0</v>
      </c>
      <c r="Y613">
        <v>0</v>
      </c>
    </row>
    <row r="614" spans="1:25" x14ac:dyDescent="0.25">
      <c r="A614">
        <v>3</v>
      </c>
      <c r="B614" s="1">
        <v>1010</v>
      </c>
      <c r="C614" s="2" t="s">
        <v>36</v>
      </c>
      <c r="D614" s="2">
        <v>100000</v>
      </c>
      <c r="E614" s="2">
        <v>23200</v>
      </c>
      <c r="F614" s="1">
        <v>50</v>
      </c>
      <c r="G614" s="1">
        <v>48</v>
      </c>
      <c r="H614" s="2" t="s">
        <v>26</v>
      </c>
      <c r="J614" s="2" t="s">
        <v>26</v>
      </c>
      <c r="K614" s="2">
        <v>10000</v>
      </c>
      <c r="L614" s="2" t="s">
        <v>26</v>
      </c>
      <c r="M614" s="1">
        <v>2895</v>
      </c>
      <c r="N614" t="s">
        <v>35</v>
      </c>
      <c r="O614" s="5">
        <f>EDATE(O613,1)</f>
        <v>42156</v>
      </c>
      <c r="P614">
        <v>48</v>
      </c>
      <c r="Q614">
        <v>49</v>
      </c>
      <c r="R614" s="2">
        <f>PMT((0.1/12),50,-10000,0,0)</f>
        <v>245.37214109460174</v>
      </c>
      <c r="S614">
        <v>50</v>
      </c>
      <c r="T614" s="2">
        <v>245.37214109460174</v>
      </c>
      <c r="U614" t="s">
        <v>29</v>
      </c>
      <c r="V614" t="s">
        <v>29</v>
      </c>
      <c r="W614">
        <v>0</v>
      </c>
      <c r="X614">
        <v>0</v>
      </c>
      <c r="Y614">
        <v>0</v>
      </c>
    </row>
    <row r="615" spans="1:25" x14ac:dyDescent="0.25">
      <c r="A615">
        <v>3</v>
      </c>
      <c r="B615" s="1">
        <v>1010</v>
      </c>
      <c r="C615" s="2" t="s">
        <v>36</v>
      </c>
      <c r="D615" s="2">
        <v>100000</v>
      </c>
      <c r="E615" s="2">
        <v>21600</v>
      </c>
      <c r="F615" s="1">
        <v>50</v>
      </c>
      <c r="G615" s="1">
        <v>49</v>
      </c>
      <c r="H615" s="2" t="s">
        <v>26</v>
      </c>
      <c r="J615" s="2" t="s">
        <v>26</v>
      </c>
      <c r="K615" s="2">
        <v>10000</v>
      </c>
      <c r="L615" s="2" t="s">
        <v>26</v>
      </c>
      <c r="M615" s="1">
        <v>2895</v>
      </c>
      <c r="N615" t="s">
        <v>35</v>
      </c>
      <c r="O615" s="5">
        <f>EDATE(O614,1)</f>
        <v>42186</v>
      </c>
      <c r="P615">
        <v>49</v>
      </c>
      <c r="Q615">
        <v>50</v>
      </c>
      <c r="R615" s="2">
        <f>PMT((0.1/12),50,-10000,0,0)</f>
        <v>245.37214109460174</v>
      </c>
      <c r="S615">
        <v>50</v>
      </c>
      <c r="T615" s="2">
        <v>245.37214109460174</v>
      </c>
      <c r="U615" t="s">
        <v>29</v>
      </c>
      <c r="V615" t="s">
        <v>29</v>
      </c>
      <c r="W615">
        <v>0</v>
      </c>
      <c r="X615">
        <v>0</v>
      </c>
      <c r="Y615">
        <v>0</v>
      </c>
    </row>
    <row r="616" spans="1:25" x14ac:dyDescent="0.25">
      <c r="A616">
        <v>3</v>
      </c>
      <c r="B616" s="1">
        <v>1010</v>
      </c>
      <c r="C616" s="2" t="s">
        <v>36</v>
      </c>
      <c r="D616" s="2">
        <v>100000</v>
      </c>
      <c r="E616" s="2">
        <v>20000</v>
      </c>
      <c r="F616" s="1">
        <v>50</v>
      </c>
      <c r="G616" s="1">
        <v>50</v>
      </c>
      <c r="H616" s="2" t="s">
        <v>26</v>
      </c>
      <c r="J616" s="2" t="s">
        <v>26</v>
      </c>
      <c r="K616" s="2">
        <v>10000</v>
      </c>
      <c r="L616" s="2" t="s">
        <v>26</v>
      </c>
      <c r="M616" s="1">
        <v>2895</v>
      </c>
      <c r="N616" t="s">
        <v>35</v>
      </c>
      <c r="O616" s="5">
        <f>EDATE(O615,1)</f>
        <v>42217</v>
      </c>
      <c r="P616">
        <v>50</v>
      </c>
      <c r="Q616">
        <v>51</v>
      </c>
      <c r="R616" s="2">
        <f>PMT((0.1/12),50,-10000,0,0)</f>
        <v>245.37214109460174</v>
      </c>
      <c r="S616">
        <v>50</v>
      </c>
      <c r="T616" s="2">
        <v>245.37214109460174</v>
      </c>
      <c r="U616" t="s">
        <v>29</v>
      </c>
      <c r="V616" t="s">
        <v>29</v>
      </c>
      <c r="W616">
        <v>0</v>
      </c>
      <c r="X616">
        <v>0</v>
      </c>
      <c r="Y616">
        <v>0</v>
      </c>
    </row>
    <row r="617" spans="1:25" x14ac:dyDescent="0.25">
      <c r="A617">
        <v>3</v>
      </c>
      <c r="B617" s="1">
        <v>1010</v>
      </c>
      <c r="C617" s="2" t="s">
        <v>36</v>
      </c>
      <c r="D617" s="2">
        <v>100000</v>
      </c>
      <c r="E617" s="2">
        <v>18400</v>
      </c>
      <c r="F617" s="1">
        <v>50</v>
      </c>
      <c r="G617" s="1">
        <v>51</v>
      </c>
      <c r="H617" s="2" t="s">
        <v>26</v>
      </c>
      <c r="J617" s="2" t="s">
        <v>26</v>
      </c>
      <c r="K617" s="2">
        <v>10000</v>
      </c>
      <c r="L617" s="2" t="s">
        <v>26</v>
      </c>
      <c r="M617" s="1">
        <v>2895</v>
      </c>
      <c r="N617" t="s">
        <v>35</v>
      </c>
      <c r="O617" s="5">
        <f>EDATE(O616,1)</f>
        <v>42248</v>
      </c>
      <c r="P617">
        <v>51</v>
      </c>
      <c r="Q617">
        <v>999</v>
      </c>
      <c r="S617">
        <v>50</v>
      </c>
      <c r="T617" s="2">
        <v>0</v>
      </c>
      <c r="U617" t="s">
        <v>29</v>
      </c>
      <c r="V617" t="s">
        <v>29</v>
      </c>
      <c r="W617">
        <v>0</v>
      </c>
      <c r="X617">
        <v>0</v>
      </c>
      <c r="Y617">
        <v>0</v>
      </c>
    </row>
    <row r="618" spans="1:25" x14ac:dyDescent="0.25">
      <c r="A618">
        <v>5</v>
      </c>
      <c r="B618" s="1">
        <v>1020</v>
      </c>
      <c r="C618" s="2" t="s">
        <v>37</v>
      </c>
      <c r="D618" s="2">
        <v>9699.3089</v>
      </c>
      <c r="E618" s="2">
        <v>8923.3641900000002</v>
      </c>
      <c r="F618" s="1">
        <v>10</v>
      </c>
      <c r="G618" s="1">
        <v>1</v>
      </c>
      <c r="H618" s="2" t="s">
        <v>26</v>
      </c>
      <c r="J618" s="2" t="s">
        <v>26</v>
      </c>
      <c r="K618" s="2">
        <v>0</v>
      </c>
      <c r="L618" s="2" t="s">
        <v>26</v>
      </c>
      <c r="M618" s="1">
        <v>2589</v>
      </c>
      <c r="N618" t="s">
        <v>27</v>
      </c>
      <c r="O618" s="5">
        <v>41640</v>
      </c>
      <c r="P618">
        <v>1</v>
      </c>
      <c r="Q618">
        <v>2</v>
      </c>
      <c r="R618" s="2">
        <f>ROUND(IF(1=1,IF(8&gt;0,1.5/(100+1.5)/8,1.5/(100+1.5)/10),1.5/(100+1.5)/10)*100,4)</f>
        <v>0.1847</v>
      </c>
      <c r="S618">
        <v>51</v>
      </c>
      <c r="T618" s="2">
        <v>0.1847</v>
      </c>
      <c r="U618" t="s">
        <v>28</v>
      </c>
      <c r="V618" t="s">
        <v>29</v>
      </c>
    </row>
    <row r="619" spans="1:25" x14ac:dyDescent="0.25">
      <c r="A619">
        <v>5</v>
      </c>
      <c r="B619" s="1">
        <v>1020</v>
      </c>
      <c r="C619" s="2" t="s">
        <v>37</v>
      </c>
      <c r="D619" s="2">
        <v>9699.3089</v>
      </c>
      <c r="E619" s="2">
        <v>8147.4194800000005</v>
      </c>
      <c r="F619" s="1">
        <v>10</v>
      </c>
      <c r="G619" s="1">
        <v>2</v>
      </c>
      <c r="H619" s="2" t="s">
        <v>26</v>
      </c>
      <c r="J619" s="2" t="s">
        <v>26</v>
      </c>
      <c r="K619" s="2">
        <v>0</v>
      </c>
      <c r="L619" s="2" t="s">
        <v>26</v>
      </c>
      <c r="M619" s="1">
        <v>2589</v>
      </c>
      <c r="N619" t="s">
        <v>27</v>
      </c>
      <c r="O619" s="5">
        <f>EDATE(O618,1)</f>
        <v>41671</v>
      </c>
      <c r="P619">
        <v>2</v>
      </c>
      <c r="Q619">
        <v>3</v>
      </c>
      <c r="R619" s="2">
        <f>ROUND(IF(1=1,IF(8&gt;0,1.5/(100+1.5)/8,1.5/(100+1.5)/10),1.5/(100+1.5)/10)*100,4)</f>
        <v>0.1847</v>
      </c>
      <c r="S619">
        <v>51</v>
      </c>
      <c r="T619" s="2">
        <v>0.1847</v>
      </c>
      <c r="U619" t="s">
        <v>28</v>
      </c>
      <c r="V619" t="s">
        <v>29</v>
      </c>
    </row>
    <row r="620" spans="1:25" x14ac:dyDescent="0.25">
      <c r="A620">
        <v>5</v>
      </c>
      <c r="B620" s="1">
        <v>1020</v>
      </c>
      <c r="C620" s="2" t="s">
        <v>37</v>
      </c>
      <c r="D620" s="2">
        <v>9699.3089</v>
      </c>
      <c r="E620" s="2">
        <v>7371.4747700000007</v>
      </c>
      <c r="F620" s="1">
        <v>10</v>
      </c>
      <c r="G620" s="1">
        <v>3</v>
      </c>
      <c r="H620" s="2" t="s">
        <v>26</v>
      </c>
      <c r="J620" s="2" t="s">
        <v>26</v>
      </c>
      <c r="K620" s="2">
        <v>0</v>
      </c>
      <c r="L620" s="2" t="s">
        <v>26</v>
      </c>
      <c r="M620" s="1">
        <v>2589</v>
      </c>
      <c r="N620" t="s">
        <v>27</v>
      </c>
      <c r="O620" s="5">
        <f>EDATE(O619,1)</f>
        <v>41699</v>
      </c>
      <c r="P620">
        <v>3</v>
      </c>
      <c r="Q620">
        <v>4</v>
      </c>
      <c r="R620" s="2">
        <f>ROUND(IF(1=1,IF(8&gt;0,1.5/(100+1.5)/8,1.5/(100+1.5)/10),1.5/(100+1.5)/10)*100,4)</f>
        <v>0.1847</v>
      </c>
      <c r="S620">
        <v>51</v>
      </c>
      <c r="T620" s="2">
        <v>0.1847</v>
      </c>
      <c r="U620" t="s">
        <v>28</v>
      </c>
      <c r="V620" t="s">
        <v>29</v>
      </c>
    </row>
    <row r="621" spans="1:25" x14ac:dyDescent="0.25">
      <c r="A621">
        <v>5</v>
      </c>
      <c r="B621" s="1">
        <v>1020</v>
      </c>
      <c r="C621" s="2" t="s">
        <v>37</v>
      </c>
      <c r="D621" s="2">
        <v>9699.3089</v>
      </c>
      <c r="E621" s="2">
        <v>6595.530060000001</v>
      </c>
      <c r="F621" s="1">
        <v>10</v>
      </c>
      <c r="G621" s="1">
        <v>4</v>
      </c>
      <c r="H621" s="2" t="s">
        <v>26</v>
      </c>
      <c r="J621" s="2" t="s">
        <v>26</v>
      </c>
      <c r="K621" s="2">
        <v>0</v>
      </c>
      <c r="L621" s="2" t="s">
        <v>26</v>
      </c>
      <c r="M621" s="1">
        <v>2589</v>
      </c>
      <c r="N621" t="s">
        <v>27</v>
      </c>
      <c r="O621" s="5">
        <f>EDATE(O620,1)</f>
        <v>41730</v>
      </c>
      <c r="P621">
        <v>4</v>
      </c>
      <c r="Q621">
        <v>5</v>
      </c>
      <c r="R621" s="2">
        <f>ROUND(IF(1=1,IF(8&gt;0,1.5/(100+1.5)/8,1.5/(100+1.5)/10),1.5/(100+1.5)/10)*100,4)</f>
        <v>0.1847</v>
      </c>
      <c r="S621">
        <v>51</v>
      </c>
      <c r="T621" s="2">
        <v>0.1847</v>
      </c>
      <c r="U621" t="s">
        <v>28</v>
      </c>
      <c r="V621" t="s">
        <v>29</v>
      </c>
    </row>
    <row r="622" spans="1:25" x14ac:dyDescent="0.25">
      <c r="A622">
        <v>5</v>
      </c>
      <c r="B622" s="1">
        <v>1020</v>
      </c>
      <c r="C622" s="2" t="s">
        <v>37</v>
      </c>
      <c r="D622" s="2">
        <v>9699.3089</v>
      </c>
      <c r="E622" s="2">
        <v>5819.5853500000012</v>
      </c>
      <c r="F622" s="1">
        <v>10</v>
      </c>
      <c r="G622" s="1">
        <v>5</v>
      </c>
      <c r="H622" s="2" t="s">
        <v>26</v>
      </c>
      <c r="J622" s="2" t="s">
        <v>26</v>
      </c>
      <c r="K622" s="2">
        <v>0</v>
      </c>
      <c r="L622" s="2" t="s">
        <v>26</v>
      </c>
      <c r="M622" s="1">
        <v>2589</v>
      </c>
      <c r="N622" t="s">
        <v>27</v>
      </c>
      <c r="O622" s="5">
        <f>EDATE(O621,1)</f>
        <v>41760</v>
      </c>
      <c r="P622">
        <v>5</v>
      </c>
      <c r="Q622">
        <v>6</v>
      </c>
      <c r="R622" s="2">
        <f>ROUND(IF(1=1,IF(8&gt;0,1.5/(100+1.5)/8,1.5/(100+1.5)/10),1.5/(100+1.5)/10)*100,4)</f>
        <v>0.1847</v>
      </c>
      <c r="S622">
        <v>51</v>
      </c>
      <c r="T622" s="2">
        <v>0.1847</v>
      </c>
      <c r="U622" t="s">
        <v>28</v>
      </c>
      <c r="V622" t="s">
        <v>29</v>
      </c>
    </row>
    <row r="623" spans="1:25" x14ac:dyDescent="0.25">
      <c r="A623">
        <v>5</v>
      </c>
      <c r="B623" s="1">
        <v>1020</v>
      </c>
      <c r="C623" s="2" t="s">
        <v>37</v>
      </c>
      <c r="D623" s="2">
        <v>9699.3089</v>
      </c>
      <c r="E623" s="2">
        <v>5043.6406400000014</v>
      </c>
      <c r="F623" s="1">
        <v>10</v>
      </c>
      <c r="G623" s="1">
        <v>6</v>
      </c>
      <c r="H623" s="2" t="s">
        <v>26</v>
      </c>
      <c r="J623" s="2" t="s">
        <v>26</v>
      </c>
      <c r="K623" s="2">
        <v>0</v>
      </c>
      <c r="L623" s="2" t="s">
        <v>26</v>
      </c>
      <c r="M623" s="1">
        <v>2589</v>
      </c>
      <c r="N623" t="s">
        <v>27</v>
      </c>
      <c r="O623" s="5">
        <f>EDATE(O622,1)</f>
        <v>41791</v>
      </c>
      <c r="P623">
        <v>6</v>
      </c>
      <c r="Q623">
        <v>7</v>
      </c>
      <c r="R623" s="2">
        <f>ROUND(IF(1=1,IF(8&gt;0,1.5/(100+1.5)/8,1.5/(100+1.5)/10),1.5/(100+1.5)/10)*100,4)</f>
        <v>0.1847</v>
      </c>
      <c r="S623">
        <v>51</v>
      </c>
      <c r="T623" s="2">
        <v>0.1847</v>
      </c>
      <c r="U623" t="s">
        <v>28</v>
      </c>
      <c r="V623" t="s">
        <v>29</v>
      </c>
    </row>
    <row r="624" spans="1:25" x14ac:dyDescent="0.25">
      <c r="A624">
        <v>5</v>
      </c>
      <c r="B624" s="1">
        <v>1020</v>
      </c>
      <c r="C624" s="2" t="s">
        <v>37</v>
      </c>
      <c r="D624" s="2">
        <v>9699.3089</v>
      </c>
      <c r="E624" s="2">
        <v>4267.6959300000017</v>
      </c>
      <c r="F624" s="1">
        <v>10</v>
      </c>
      <c r="G624" s="1">
        <v>7</v>
      </c>
      <c r="H624" s="2" t="s">
        <v>26</v>
      </c>
      <c r="J624" s="2" t="s">
        <v>26</v>
      </c>
      <c r="K624" s="2">
        <v>0</v>
      </c>
      <c r="L624" s="2" t="s">
        <v>26</v>
      </c>
      <c r="M624" s="1">
        <v>2589</v>
      </c>
      <c r="N624" t="s">
        <v>27</v>
      </c>
      <c r="O624" s="5">
        <f>EDATE(O623,1)</f>
        <v>41821</v>
      </c>
      <c r="P624">
        <v>7</v>
      </c>
      <c r="Q624">
        <v>8</v>
      </c>
      <c r="R624" s="2">
        <f>ROUND(IF(1=1,IF(8&gt;0,1.5/(100+1.5)/8,1.5/(100+1.5)/10),1.5/(100+1.5)/10)*100,4)</f>
        <v>0.1847</v>
      </c>
      <c r="S624">
        <v>51</v>
      </c>
      <c r="T624" s="2">
        <v>0.1847</v>
      </c>
      <c r="U624" t="s">
        <v>28</v>
      </c>
      <c r="V624" t="s">
        <v>29</v>
      </c>
    </row>
    <row r="625" spans="1:25" x14ac:dyDescent="0.25">
      <c r="A625">
        <v>5</v>
      </c>
      <c r="B625" s="1">
        <v>1020</v>
      </c>
      <c r="C625" s="2" t="s">
        <v>37</v>
      </c>
      <c r="D625" s="2">
        <v>9699.3089</v>
      </c>
      <c r="E625" s="2">
        <v>3491.7512200000019</v>
      </c>
      <c r="F625" s="1">
        <v>10</v>
      </c>
      <c r="G625" s="1">
        <v>8</v>
      </c>
      <c r="H625" s="2" t="s">
        <v>26</v>
      </c>
      <c r="J625" s="2" t="s">
        <v>26</v>
      </c>
      <c r="K625" s="2">
        <v>0</v>
      </c>
      <c r="L625" s="2" t="s">
        <v>26</v>
      </c>
      <c r="M625" s="1">
        <v>2589</v>
      </c>
      <c r="N625" t="s">
        <v>27</v>
      </c>
      <c r="O625" s="5">
        <f>EDATE(O624,1)</f>
        <v>41852</v>
      </c>
      <c r="P625">
        <v>8</v>
      </c>
      <c r="Q625">
        <v>9</v>
      </c>
      <c r="R625" s="2">
        <f>ROUND(IF(1=1,IF(8&gt;0,1.5/(100+1.5)/8,1.5/(100+1.5)/10),1.5/(100+1.5)/10)*100,4)</f>
        <v>0.1847</v>
      </c>
      <c r="S625">
        <v>51</v>
      </c>
      <c r="T625" s="2">
        <v>0.1847</v>
      </c>
      <c r="U625" t="s">
        <v>28</v>
      </c>
      <c r="V625" t="s">
        <v>29</v>
      </c>
    </row>
    <row r="626" spans="1:25" x14ac:dyDescent="0.25">
      <c r="A626">
        <v>5</v>
      </c>
      <c r="B626" s="1">
        <v>1020</v>
      </c>
      <c r="C626" s="2" t="s">
        <v>37</v>
      </c>
      <c r="D626" s="2">
        <v>9699.3089</v>
      </c>
      <c r="E626" s="2">
        <v>2715.8065100000022</v>
      </c>
      <c r="F626" s="1">
        <v>10</v>
      </c>
      <c r="G626" s="1">
        <v>9</v>
      </c>
      <c r="H626" s="2" t="s">
        <v>26</v>
      </c>
      <c r="J626" s="2" t="s">
        <v>26</v>
      </c>
      <c r="K626" s="2">
        <v>0</v>
      </c>
      <c r="L626" s="2" t="s">
        <v>26</v>
      </c>
      <c r="M626" s="1">
        <v>2589</v>
      </c>
      <c r="N626" t="s">
        <v>27</v>
      </c>
      <c r="O626" s="5">
        <f>EDATE(O625,1)</f>
        <v>41883</v>
      </c>
      <c r="P626">
        <v>9</v>
      </c>
      <c r="Q626">
        <v>10</v>
      </c>
      <c r="R626" s="2">
        <f>ROUND(IF(1=1,IF(8&gt;0,1.5/(100+1.5)/8,1.5/(100+1.5)/10),1.5/(100+1.5)/10)*100,4)</f>
        <v>0.1847</v>
      </c>
      <c r="S626">
        <v>51</v>
      </c>
      <c r="T626" s="2">
        <v>0.1847</v>
      </c>
      <c r="U626" t="s">
        <v>28</v>
      </c>
      <c r="V626" t="s">
        <v>29</v>
      </c>
    </row>
    <row r="627" spans="1:25" x14ac:dyDescent="0.25">
      <c r="A627">
        <v>5</v>
      </c>
      <c r="B627" s="1">
        <v>1020</v>
      </c>
      <c r="C627" s="2" t="s">
        <v>37</v>
      </c>
      <c r="D627" s="2">
        <v>9699.3089</v>
      </c>
      <c r="E627" s="2">
        <v>1939.8618000000022</v>
      </c>
      <c r="F627" s="1">
        <v>10</v>
      </c>
      <c r="G627" s="1">
        <v>10</v>
      </c>
      <c r="H627" s="2" t="s">
        <v>26</v>
      </c>
      <c r="J627" s="2" t="s">
        <v>26</v>
      </c>
      <c r="K627" s="2">
        <v>0</v>
      </c>
      <c r="L627" s="2" t="s">
        <v>26</v>
      </c>
      <c r="M627" s="1">
        <v>2589</v>
      </c>
      <c r="N627" t="s">
        <v>27</v>
      </c>
      <c r="O627" s="5">
        <f>EDATE(O626,1)</f>
        <v>41913</v>
      </c>
      <c r="P627">
        <v>10</v>
      </c>
      <c r="Q627">
        <v>11</v>
      </c>
      <c r="R627" s="2">
        <f>ROUND(IF(1=1,IF(8&gt;0,1.5/(100+1.5)/8,1.5/(100+1.5)/10),1.5/(100+1.5)/10)*100,4)</f>
        <v>0.1847</v>
      </c>
      <c r="S627">
        <v>51</v>
      </c>
      <c r="T627" s="2">
        <v>0.1847</v>
      </c>
      <c r="U627" t="s">
        <v>28</v>
      </c>
      <c r="V627" t="s">
        <v>29</v>
      </c>
    </row>
    <row r="628" spans="1:25" x14ac:dyDescent="0.25">
      <c r="A628">
        <v>5</v>
      </c>
      <c r="B628" s="1">
        <v>1020</v>
      </c>
      <c r="C628" s="2" t="s">
        <v>37</v>
      </c>
      <c r="D628" s="2">
        <v>9699.3089</v>
      </c>
      <c r="E628" s="2">
        <v>1163.9170900000022</v>
      </c>
      <c r="F628" s="1">
        <v>10</v>
      </c>
      <c r="G628" s="1">
        <v>11</v>
      </c>
      <c r="H628" s="2" t="s">
        <v>26</v>
      </c>
      <c r="J628" s="2" t="s">
        <v>26</v>
      </c>
      <c r="K628" s="2">
        <v>0</v>
      </c>
      <c r="L628" s="2" t="s">
        <v>26</v>
      </c>
      <c r="M628" s="1">
        <v>2589</v>
      </c>
      <c r="N628" t="s">
        <v>27</v>
      </c>
      <c r="O628" s="5">
        <f>EDATE(O627,1)</f>
        <v>41944</v>
      </c>
      <c r="P628">
        <v>11</v>
      </c>
      <c r="Q628">
        <v>999</v>
      </c>
      <c r="R628" s="2">
        <v>0</v>
      </c>
      <c r="S628">
        <v>51</v>
      </c>
      <c r="T628" s="2">
        <v>0</v>
      </c>
      <c r="U628" t="s">
        <v>28</v>
      </c>
      <c r="V628" t="s">
        <v>29</v>
      </c>
      <c r="W628">
        <v>0</v>
      </c>
      <c r="X628">
        <v>0</v>
      </c>
      <c r="Y628">
        <v>0</v>
      </c>
    </row>
    <row r="629" spans="1:25" x14ac:dyDescent="0.25">
      <c r="A629">
        <v>5</v>
      </c>
      <c r="B629" s="1">
        <v>1020</v>
      </c>
      <c r="C629" s="2" t="s">
        <v>37</v>
      </c>
      <c r="D629" s="2">
        <v>9699.3089</v>
      </c>
      <c r="E629" s="2">
        <v>8923.3641900000002</v>
      </c>
      <c r="F629" s="1">
        <v>10</v>
      </c>
      <c r="G629" s="1">
        <v>1</v>
      </c>
      <c r="H629" s="2" t="s">
        <v>26</v>
      </c>
      <c r="J629" s="2" t="s">
        <v>26</v>
      </c>
      <c r="K629" s="2">
        <v>0</v>
      </c>
      <c r="L629" s="2" t="s">
        <v>26</v>
      </c>
      <c r="M629" s="1">
        <v>2862</v>
      </c>
      <c r="N629" t="s">
        <v>30</v>
      </c>
      <c r="O629" s="5">
        <v>41640</v>
      </c>
      <c r="P629">
        <v>1</v>
      </c>
      <c r="Q629">
        <v>2</v>
      </c>
      <c r="R629" s="2">
        <f>PPMT((0.0315/12),1,10,-9699.3089,1939.8618,1)</f>
        <v>790.20930189257331</v>
      </c>
      <c r="S629">
        <v>51</v>
      </c>
      <c r="T629" s="2">
        <v>790.20930189257331</v>
      </c>
      <c r="U629" t="s">
        <v>29</v>
      </c>
      <c r="V629" t="s">
        <v>29</v>
      </c>
    </row>
    <row r="630" spans="1:25" x14ac:dyDescent="0.25">
      <c r="A630">
        <v>5</v>
      </c>
      <c r="B630" s="1">
        <v>1020</v>
      </c>
      <c r="C630" s="2" t="s">
        <v>37</v>
      </c>
      <c r="D630" s="2">
        <v>9699.3089</v>
      </c>
      <c r="E630" s="2">
        <v>8147.4194800000005</v>
      </c>
      <c r="F630" s="1">
        <v>10</v>
      </c>
      <c r="G630" s="1">
        <v>2</v>
      </c>
      <c r="H630" s="2" t="s">
        <v>26</v>
      </c>
      <c r="J630" s="2" t="s">
        <v>26</v>
      </c>
      <c r="K630" s="2">
        <v>0</v>
      </c>
      <c r="L630" s="2" t="s">
        <v>26</v>
      </c>
      <c r="M630" s="1">
        <v>2862</v>
      </c>
      <c r="N630" t="s">
        <v>30</v>
      </c>
      <c r="O630" s="5">
        <f>EDATE(O629,1)</f>
        <v>41671</v>
      </c>
      <c r="P630">
        <v>2</v>
      </c>
      <c r="Q630">
        <v>3</v>
      </c>
      <c r="R630" s="2">
        <f>PPMT((0.0315/12),2,10,-9699.3089,1939.8618,1)</f>
        <v>766.82291544754128</v>
      </c>
      <c r="S630">
        <v>51</v>
      </c>
      <c r="T630" s="2">
        <v>766.82291544754128</v>
      </c>
      <c r="U630" t="s">
        <v>29</v>
      </c>
      <c r="V630" t="s">
        <v>29</v>
      </c>
    </row>
    <row r="631" spans="1:25" x14ac:dyDescent="0.25">
      <c r="A631">
        <v>5</v>
      </c>
      <c r="B631" s="1">
        <v>1020</v>
      </c>
      <c r="C631" s="2" t="s">
        <v>37</v>
      </c>
      <c r="D631" s="2">
        <v>9699.3089</v>
      </c>
      <c r="E631" s="2">
        <v>7371.4747700000007</v>
      </c>
      <c r="F631" s="1">
        <v>10</v>
      </c>
      <c r="G631" s="1">
        <v>3</v>
      </c>
      <c r="H631" s="2" t="s">
        <v>26</v>
      </c>
      <c r="J631" s="2" t="s">
        <v>26</v>
      </c>
      <c r="K631" s="2">
        <v>0</v>
      </c>
      <c r="L631" s="2" t="s">
        <v>26</v>
      </c>
      <c r="M631" s="1">
        <v>2862</v>
      </c>
      <c r="N631" t="s">
        <v>30</v>
      </c>
      <c r="O631" s="5">
        <f>EDATE(O630,1)</f>
        <v>41699</v>
      </c>
      <c r="P631">
        <v>3</v>
      </c>
      <c r="Q631">
        <v>4</v>
      </c>
      <c r="R631" s="2">
        <f>PPMT((0.0315/12),3,10,-9699.3089,1939.8618,1)</f>
        <v>768.83582560059108</v>
      </c>
      <c r="S631">
        <v>51</v>
      </c>
      <c r="T631" s="2">
        <v>768.83582560059108</v>
      </c>
      <c r="U631" t="s">
        <v>29</v>
      </c>
      <c r="V631" t="s">
        <v>29</v>
      </c>
    </row>
    <row r="632" spans="1:25" x14ac:dyDescent="0.25">
      <c r="A632">
        <v>5</v>
      </c>
      <c r="B632" s="1">
        <v>1020</v>
      </c>
      <c r="C632" s="2" t="s">
        <v>37</v>
      </c>
      <c r="D632" s="2">
        <v>9699.3089</v>
      </c>
      <c r="E632" s="2">
        <v>6595.530060000001</v>
      </c>
      <c r="F632" s="1">
        <v>10</v>
      </c>
      <c r="G632" s="1">
        <v>4</v>
      </c>
      <c r="H632" s="2" t="s">
        <v>26</v>
      </c>
      <c r="J632" s="2" t="s">
        <v>26</v>
      </c>
      <c r="K632" s="2">
        <v>0</v>
      </c>
      <c r="L632" s="2" t="s">
        <v>26</v>
      </c>
      <c r="M632" s="1">
        <v>2862</v>
      </c>
      <c r="N632" t="s">
        <v>30</v>
      </c>
      <c r="O632" s="5">
        <f>EDATE(O631,1)</f>
        <v>41730</v>
      </c>
      <c r="P632">
        <v>4</v>
      </c>
      <c r="Q632">
        <v>5</v>
      </c>
      <c r="R632" s="2">
        <f>PPMT((0.0315/12),4,10,-9699.3089,1939.8618,1)</f>
        <v>770.85401964279254</v>
      </c>
      <c r="S632">
        <v>51</v>
      </c>
      <c r="T632" s="2">
        <v>770.85401964279254</v>
      </c>
      <c r="U632" t="s">
        <v>29</v>
      </c>
      <c r="V632" t="s">
        <v>29</v>
      </c>
    </row>
    <row r="633" spans="1:25" x14ac:dyDescent="0.25">
      <c r="A633">
        <v>5</v>
      </c>
      <c r="B633" s="1">
        <v>1020</v>
      </c>
      <c r="C633" s="2" t="s">
        <v>37</v>
      </c>
      <c r="D633" s="2">
        <v>9699.3089</v>
      </c>
      <c r="E633" s="2">
        <v>5819.5853500000012</v>
      </c>
      <c r="F633" s="1">
        <v>10</v>
      </c>
      <c r="G633" s="1">
        <v>5</v>
      </c>
      <c r="H633" s="2" t="s">
        <v>26</v>
      </c>
      <c r="J633" s="2" t="s">
        <v>26</v>
      </c>
      <c r="K633" s="2">
        <v>0</v>
      </c>
      <c r="L633" s="2" t="s">
        <v>26</v>
      </c>
      <c r="M633" s="1">
        <v>2862</v>
      </c>
      <c r="N633" t="s">
        <v>30</v>
      </c>
      <c r="O633" s="5">
        <f>EDATE(O632,1)</f>
        <v>41760</v>
      </c>
      <c r="P633">
        <v>5</v>
      </c>
      <c r="Q633">
        <v>6</v>
      </c>
      <c r="R633" s="2">
        <f>PPMT((0.0315/12),5,10,-9699.3089,1939.8618,1)</f>
        <v>772.87751144435492</v>
      </c>
      <c r="S633">
        <v>51</v>
      </c>
      <c r="T633" s="2">
        <v>772.87751144435492</v>
      </c>
      <c r="U633" t="s">
        <v>29</v>
      </c>
      <c r="V633" t="s">
        <v>29</v>
      </c>
    </row>
    <row r="634" spans="1:25" x14ac:dyDescent="0.25">
      <c r="A634">
        <v>5</v>
      </c>
      <c r="B634" s="1">
        <v>1020</v>
      </c>
      <c r="C634" s="2" t="s">
        <v>37</v>
      </c>
      <c r="D634" s="2">
        <v>9699.3089</v>
      </c>
      <c r="E634" s="2">
        <v>5043.6406400000014</v>
      </c>
      <c r="F634" s="1">
        <v>10</v>
      </c>
      <c r="G634" s="1">
        <v>6</v>
      </c>
      <c r="H634" s="2" t="s">
        <v>26</v>
      </c>
      <c r="J634" s="2" t="s">
        <v>26</v>
      </c>
      <c r="K634" s="2">
        <v>0</v>
      </c>
      <c r="L634" s="2" t="s">
        <v>26</v>
      </c>
      <c r="M634" s="1">
        <v>2862</v>
      </c>
      <c r="N634" t="s">
        <v>30</v>
      </c>
      <c r="O634" s="5">
        <f>EDATE(O633,1)</f>
        <v>41791</v>
      </c>
      <c r="P634">
        <v>6</v>
      </c>
      <c r="Q634">
        <v>7</v>
      </c>
      <c r="R634" s="2">
        <f>PPMT((0.0315/12),6,10,-9699.3089,1939.8618,1)</f>
        <v>774.9063149118964</v>
      </c>
      <c r="S634">
        <v>51</v>
      </c>
      <c r="T634" s="2">
        <v>774.9063149118964</v>
      </c>
      <c r="U634" t="s">
        <v>29</v>
      </c>
      <c r="V634" t="s">
        <v>29</v>
      </c>
    </row>
    <row r="635" spans="1:25" x14ac:dyDescent="0.25">
      <c r="A635">
        <v>5</v>
      </c>
      <c r="B635" s="1">
        <v>1020</v>
      </c>
      <c r="C635" s="2" t="s">
        <v>37</v>
      </c>
      <c r="D635" s="2">
        <v>9699.3089</v>
      </c>
      <c r="E635" s="2">
        <v>4267.6959300000017</v>
      </c>
      <c r="F635" s="1">
        <v>10</v>
      </c>
      <c r="G635" s="1">
        <v>7</v>
      </c>
      <c r="H635" s="2" t="s">
        <v>26</v>
      </c>
      <c r="J635" s="2" t="s">
        <v>26</v>
      </c>
      <c r="K635" s="2">
        <v>0</v>
      </c>
      <c r="L635" s="2" t="s">
        <v>26</v>
      </c>
      <c r="M635" s="1">
        <v>2862</v>
      </c>
      <c r="N635" t="s">
        <v>30</v>
      </c>
      <c r="O635" s="5">
        <f>EDATE(O634,1)</f>
        <v>41821</v>
      </c>
      <c r="P635">
        <v>7</v>
      </c>
      <c r="Q635">
        <v>8</v>
      </c>
      <c r="R635" s="2">
        <f>PPMT((0.0315/12),7,10,-9699.3089,1939.8618,1)</f>
        <v>776.9404439885401</v>
      </c>
      <c r="S635">
        <v>51</v>
      </c>
      <c r="T635" s="2">
        <v>776.9404439885401</v>
      </c>
      <c r="U635" t="s">
        <v>29</v>
      </c>
      <c r="V635" t="s">
        <v>29</v>
      </c>
    </row>
    <row r="636" spans="1:25" x14ac:dyDescent="0.25">
      <c r="A636">
        <v>5</v>
      </c>
      <c r="B636" s="1">
        <v>1020</v>
      </c>
      <c r="C636" s="2" t="s">
        <v>37</v>
      </c>
      <c r="D636" s="2">
        <v>9699.3089</v>
      </c>
      <c r="E636" s="2">
        <v>3491.7512200000019</v>
      </c>
      <c r="F636" s="1">
        <v>10</v>
      </c>
      <c r="G636" s="1">
        <v>8</v>
      </c>
      <c r="H636" s="2" t="s">
        <v>26</v>
      </c>
      <c r="J636" s="2" t="s">
        <v>26</v>
      </c>
      <c r="K636" s="2">
        <v>0</v>
      </c>
      <c r="L636" s="2" t="s">
        <v>26</v>
      </c>
      <c r="M636" s="1">
        <v>2862</v>
      </c>
      <c r="N636" t="s">
        <v>30</v>
      </c>
      <c r="O636" s="5">
        <f>EDATE(O635,1)</f>
        <v>41852</v>
      </c>
      <c r="P636">
        <v>8</v>
      </c>
      <c r="Q636">
        <v>9</v>
      </c>
      <c r="R636" s="2">
        <f>PPMT((0.0315/12),8,10,-9699.3089,1939.8618,1)</f>
        <v>778.97991265401004</v>
      </c>
      <c r="S636">
        <v>51</v>
      </c>
      <c r="T636" s="2">
        <v>778.97991265401004</v>
      </c>
      <c r="U636" t="s">
        <v>29</v>
      </c>
      <c r="V636" t="s">
        <v>29</v>
      </c>
    </row>
    <row r="637" spans="1:25" x14ac:dyDescent="0.25">
      <c r="A637">
        <v>5</v>
      </c>
      <c r="B637" s="1">
        <v>1020</v>
      </c>
      <c r="C637" s="2" t="s">
        <v>37</v>
      </c>
      <c r="D637" s="2">
        <v>9699.3089</v>
      </c>
      <c r="E637" s="2">
        <v>2715.8065100000022</v>
      </c>
      <c r="F637" s="1">
        <v>10</v>
      </c>
      <c r="G637" s="1">
        <v>9</v>
      </c>
      <c r="H637" s="2" t="s">
        <v>26</v>
      </c>
      <c r="J637" s="2" t="s">
        <v>26</v>
      </c>
      <c r="K637" s="2">
        <v>0</v>
      </c>
      <c r="L637" s="2" t="s">
        <v>26</v>
      </c>
      <c r="M637" s="1">
        <v>2862</v>
      </c>
      <c r="N637" t="s">
        <v>30</v>
      </c>
      <c r="O637" s="5">
        <f>EDATE(O636,1)</f>
        <v>41883</v>
      </c>
      <c r="P637">
        <v>9</v>
      </c>
      <c r="Q637">
        <v>10</v>
      </c>
      <c r="R637" s="2">
        <f>PPMT((0.0315/12),9,10,-9699.3089,1939.8618,1)</f>
        <v>781.02473492472677</v>
      </c>
      <c r="S637">
        <v>51</v>
      </c>
      <c r="T637" s="2">
        <v>781.02473492472677</v>
      </c>
      <c r="U637" t="s">
        <v>29</v>
      </c>
      <c r="V637" t="s">
        <v>29</v>
      </c>
    </row>
    <row r="638" spans="1:25" x14ac:dyDescent="0.25">
      <c r="A638">
        <v>5</v>
      </c>
      <c r="B638" s="1">
        <v>1020</v>
      </c>
      <c r="C638" s="2" t="s">
        <v>37</v>
      </c>
      <c r="D638" s="2">
        <v>9699.3089</v>
      </c>
      <c r="E638" s="2">
        <v>1939.8618000000022</v>
      </c>
      <c r="F638" s="1">
        <v>10</v>
      </c>
      <c r="G638" s="1">
        <v>10</v>
      </c>
      <c r="H638" s="2" t="s">
        <v>26</v>
      </c>
      <c r="J638" s="2" t="s">
        <v>26</v>
      </c>
      <c r="K638" s="2">
        <v>0</v>
      </c>
      <c r="L638" s="2" t="s">
        <v>26</v>
      </c>
      <c r="M638" s="1">
        <v>2862</v>
      </c>
      <c r="N638" t="s">
        <v>30</v>
      </c>
      <c r="O638" s="5">
        <f>EDATE(O637,1)</f>
        <v>41913</v>
      </c>
      <c r="P638">
        <v>10</v>
      </c>
      <c r="Q638">
        <v>11</v>
      </c>
      <c r="R638" s="2">
        <f>PPMT((0.0315/12),10,10,-9699.3089,1939.8618,1)</f>
        <v>783.07492485390412</v>
      </c>
      <c r="S638">
        <v>51</v>
      </c>
      <c r="T638" s="2">
        <v>783.07492485390412</v>
      </c>
      <c r="U638" t="s">
        <v>29</v>
      </c>
      <c r="V638" t="s">
        <v>29</v>
      </c>
    </row>
    <row r="639" spans="1:25" x14ac:dyDescent="0.25">
      <c r="A639">
        <v>5</v>
      </c>
      <c r="B639" s="1">
        <v>1020</v>
      </c>
      <c r="C639" s="2" t="s">
        <v>37</v>
      </c>
      <c r="D639" s="2">
        <v>9699.3089</v>
      </c>
      <c r="E639" s="2">
        <v>1163.9170900000022</v>
      </c>
      <c r="F639" s="1">
        <v>10</v>
      </c>
      <c r="G639" s="1">
        <v>11</v>
      </c>
      <c r="H639" s="2" t="s">
        <v>26</v>
      </c>
      <c r="J639" s="2" t="s">
        <v>26</v>
      </c>
      <c r="K639" s="2">
        <v>0</v>
      </c>
      <c r="L639" s="2" t="s">
        <v>26</v>
      </c>
      <c r="M639" s="1">
        <v>2862</v>
      </c>
      <c r="N639" t="s">
        <v>30</v>
      </c>
      <c r="O639" s="5">
        <f>EDATE(O638,1)</f>
        <v>41944</v>
      </c>
      <c r="P639">
        <v>11</v>
      </c>
      <c r="Q639">
        <v>999</v>
      </c>
      <c r="R639" s="2">
        <v>0</v>
      </c>
      <c r="S639">
        <v>51</v>
      </c>
      <c r="T639" s="2">
        <v>0</v>
      </c>
      <c r="U639" t="s">
        <v>29</v>
      </c>
      <c r="V639" t="s">
        <v>29</v>
      </c>
      <c r="W639">
        <v>0</v>
      </c>
      <c r="X639">
        <v>0</v>
      </c>
      <c r="Y639">
        <v>0</v>
      </c>
    </row>
    <row r="640" spans="1:25" x14ac:dyDescent="0.25">
      <c r="A640">
        <v>5</v>
      </c>
      <c r="B640" s="1">
        <v>1020</v>
      </c>
      <c r="C640" s="2" t="s">
        <v>37</v>
      </c>
      <c r="D640" s="2">
        <v>9699.3089</v>
      </c>
      <c r="E640" s="2">
        <v>8923.3641900000002</v>
      </c>
      <c r="F640" s="1">
        <v>10</v>
      </c>
      <c r="G640" s="1">
        <v>1</v>
      </c>
      <c r="H640" s="2" t="s">
        <v>26</v>
      </c>
      <c r="J640" s="2" t="s">
        <v>26</v>
      </c>
      <c r="K640" s="2">
        <v>0</v>
      </c>
      <c r="L640" s="2" t="s">
        <v>26</v>
      </c>
      <c r="M640" s="1">
        <v>2868</v>
      </c>
      <c r="N640" t="s">
        <v>31</v>
      </c>
      <c r="O640" s="5">
        <v>41640</v>
      </c>
      <c r="P640">
        <v>1</v>
      </c>
      <c r="Q640">
        <v>2</v>
      </c>
      <c r="R640" s="2">
        <f>IPMT((0.0315/12),1,10,-9699.3089,1939.8618,1)</f>
        <v>0</v>
      </c>
      <c r="S640">
        <v>51</v>
      </c>
      <c r="T640" s="2">
        <v>0</v>
      </c>
      <c r="U640" t="s">
        <v>29</v>
      </c>
      <c r="V640" t="s">
        <v>29</v>
      </c>
    </row>
    <row r="641" spans="1:25" x14ac:dyDescent="0.25">
      <c r="A641">
        <v>5</v>
      </c>
      <c r="B641" s="1">
        <v>1020</v>
      </c>
      <c r="C641" s="2" t="s">
        <v>37</v>
      </c>
      <c r="D641" s="2">
        <v>9699.3089</v>
      </c>
      <c r="E641" s="2">
        <v>8147.4194800000005</v>
      </c>
      <c r="F641" s="1">
        <v>10</v>
      </c>
      <c r="G641" s="1">
        <v>2</v>
      </c>
      <c r="H641" s="2" t="s">
        <v>26</v>
      </c>
      <c r="J641" s="2" t="s">
        <v>26</v>
      </c>
      <c r="K641" s="2">
        <v>0</v>
      </c>
      <c r="L641" s="2" t="s">
        <v>26</v>
      </c>
      <c r="M641" s="1">
        <v>2868</v>
      </c>
      <c r="N641" t="s">
        <v>31</v>
      </c>
      <c r="O641" s="5">
        <f>EDATE(O640,1)</f>
        <v>41671</v>
      </c>
      <c r="P641">
        <v>2</v>
      </c>
      <c r="Q641">
        <v>3</v>
      </c>
      <c r="R641" s="2">
        <f>IPMT((0.0315/12),2,10,-9699.3089,1939.8618,1)</f>
        <v>23.386386445032002</v>
      </c>
      <c r="S641">
        <v>51</v>
      </c>
      <c r="T641" s="2">
        <v>23.386386445032002</v>
      </c>
      <c r="U641" t="s">
        <v>29</v>
      </c>
      <c r="V641" t="s">
        <v>29</v>
      </c>
    </row>
    <row r="642" spans="1:25" x14ac:dyDescent="0.25">
      <c r="A642">
        <v>5</v>
      </c>
      <c r="B642" s="1">
        <v>1020</v>
      </c>
      <c r="C642" s="2" t="s">
        <v>37</v>
      </c>
      <c r="D642" s="2">
        <v>9699.3089</v>
      </c>
      <c r="E642" s="2">
        <v>7371.4747700000007</v>
      </c>
      <c r="F642" s="1">
        <v>10</v>
      </c>
      <c r="G642" s="1">
        <v>3</v>
      </c>
      <c r="H642" s="2" t="s">
        <v>26</v>
      </c>
      <c r="J642" s="2" t="s">
        <v>26</v>
      </c>
      <c r="K642" s="2">
        <v>0</v>
      </c>
      <c r="L642" s="2" t="s">
        <v>26</v>
      </c>
      <c r="M642" s="1">
        <v>2868</v>
      </c>
      <c r="N642" t="s">
        <v>31</v>
      </c>
      <c r="O642" s="5">
        <f>EDATE(O641,1)</f>
        <v>41699</v>
      </c>
      <c r="P642">
        <v>3</v>
      </c>
      <c r="Q642">
        <v>4</v>
      </c>
      <c r="R642" s="2">
        <f>IPMT((0.0315/12),3,10,-9699.3089,1939.8618,1)</f>
        <v>21.373476291982204</v>
      </c>
      <c r="S642">
        <v>51</v>
      </c>
      <c r="T642" s="2">
        <v>21.373476291982204</v>
      </c>
      <c r="U642" t="s">
        <v>29</v>
      </c>
      <c r="V642" t="s">
        <v>29</v>
      </c>
    </row>
    <row r="643" spans="1:25" x14ac:dyDescent="0.25">
      <c r="A643">
        <v>5</v>
      </c>
      <c r="B643" s="1">
        <v>1020</v>
      </c>
      <c r="C643" s="2" t="s">
        <v>37</v>
      </c>
      <c r="D643" s="2">
        <v>9699.3089</v>
      </c>
      <c r="E643" s="2">
        <v>6595.530060000001</v>
      </c>
      <c r="F643" s="1">
        <v>10</v>
      </c>
      <c r="G643" s="1">
        <v>4</v>
      </c>
      <c r="H643" s="2" t="s">
        <v>26</v>
      </c>
      <c r="J643" s="2" t="s">
        <v>26</v>
      </c>
      <c r="K643" s="2">
        <v>0</v>
      </c>
      <c r="L643" s="2" t="s">
        <v>26</v>
      </c>
      <c r="M643" s="1">
        <v>2868</v>
      </c>
      <c r="N643" t="s">
        <v>31</v>
      </c>
      <c r="O643" s="5">
        <f>EDATE(O642,1)</f>
        <v>41730</v>
      </c>
      <c r="P643">
        <v>4</v>
      </c>
      <c r="Q643">
        <v>5</v>
      </c>
      <c r="R643" s="2">
        <f>IPMT((0.0315/12),4,10,-9699.3089,1939.8618,1)</f>
        <v>19.355282249780654</v>
      </c>
      <c r="S643">
        <v>51</v>
      </c>
      <c r="T643" s="2">
        <v>19.355282249780654</v>
      </c>
      <c r="U643" t="s">
        <v>29</v>
      </c>
      <c r="V643" t="s">
        <v>29</v>
      </c>
    </row>
    <row r="644" spans="1:25" x14ac:dyDescent="0.25">
      <c r="A644">
        <v>5</v>
      </c>
      <c r="B644" s="1">
        <v>1020</v>
      </c>
      <c r="C644" s="2" t="s">
        <v>37</v>
      </c>
      <c r="D644" s="2">
        <v>9699.3089</v>
      </c>
      <c r="E644" s="2">
        <v>5819.5853500000012</v>
      </c>
      <c r="F644" s="1">
        <v>10</v>
      </c>
      <c r="G644" s="1">
        <v>5</v>
      </c>
      <c r="H644" s="2" t="s">
        <v>26</v>
      </c>
      <c r="J644" s="2" t="s">
        <v>26</v>
      </c>
      <c r="K644" s="2">
        <v>0</v>
      </c>
      <c r="L644" s="2" t="s">
        <v>26</v>
      </c>
      <c r="M644" s="1">
        <v>2868</v>
      </c>
      <c r="N644" t="s">
        <v>31</v>
      </c>
      <c r="O644" s="5">
        <f>EDATE(O643,1)</f>
        <v>41760</v>
      </c>
      <c r="P644">
        <v>5</v>
      </c>
      <c r="Q644">
        <v>6</v>
      </c>
      <c r="R644" s="2">
        <f>IPMT((0.0315/12),5,10,-9699.3089,1939.8618,1)</f>
        <v>17.331790448218324</v>
      </c>
      <c r="S644">
        <v>51</v>
      </c>
      <c r="T644" s="2">
        <v>17.331790448218324</v>
      </c>
      <c r="U644" t="s">
        <v>29</v>
      </c>
      <c r="V644" t="s">
        <v>29</v>
      </c>
    </row>
    <row r="645" spans="1:25" x14ac:dyDescent="0.25">
      <c r="A645">
        <v>5</v>
      </c>
      <c r="B645" s="1">
        <v>1020</v>
      </c>
      <c r="C645" s="2" t="s">
        <v>37</v>
      </c>
      <c r="D645" s="2">
        <v>9699.3089</v>
      </c>
      <c r="E645" s="2">
        <v>5043.6406400000014</v>
      </c>
      <c r="F645" s="1">
        <v>10</v>
      </c>
      <c r="G645" s="1">
        <v>6</v>
      </c>
      <c r="H645" s="2" t="s">
        <v>26</v>
      </c>
      <c r="J645" s="2" t="s">
        <v>26</v>
      </c>
      <c r="K645" s="2">
        <v>0</v>
      </c>
      <c r="L645" s="2" t="s">
        <v>26</v>
      </c>
      <c r="M645" s="1">
        <v>2868</v>
      </c>
      <c r="N645" t="s">
        <v>31</v>
      </c>
      <c r="O645" s="5">
        <f>EDATE(O644,1)</f>
        <v>41791</v>
      </c>
      <c r="P645">
        <v>6</v>
      </c>
      <c r="Q645">
        <v>7</v>
      </c>
      <c r="R645" s="2">
        <f>IPMT((0.0315/12),6,10,-9699.3089,1939.8618,1)</f>
        <v>15.302986980676891</v>
      </c>
      <c r="S645">
        <v>51</v>
      </c>
      <c r="T645" s="2">
        <v>15.302986980676891</v>
      </c>
      <c r="U645" t="s">
        <v>29</v>
      </c>
      <c r="V645" t="s">
        <v>29</v>
      </c>
    </row>
    <row r="646" spans="1:25" x14ac:dyDescent="0.25">
      <c r="A646">
        <v>5</v>
      </c>
      <c r="B646" s="1">
        <v>1020</v>
      </c>
      <c r="C646" s="2" t="s">
        <v>37</v>
      </c>
      <c r="D646" s="2">
        <v>9699.3089</v>
      </c>
      <c r="E646" s="2">
        <v>4267.6959300000017</v>
      </c>
      <c r="F646" s="1">
        <v>10</v>
      </c>
      <c r="G646" s="1">
        <v>7</v>
      </c>
      <c r="H646" s="2" t="s">
        <v>26</v>
      </c>
      <c r="J646" s="2" t="s">
        <v>26</v>
      </c>
      <c r="K646" s="2">
        <v>0</v>
      </c>
      <c r="L646" s="2" t="s">
        <v>26</v>
      </c>
      <c r="M646" s="1">
        <v>2868</v>
      </c>
      <c r="N646" t="s">
        <v>31</v>
      </c>
      <c r="O646" s="5">
        <f>EDATE(O645,1)</f>
        <v>41821</v>
      </c>
      <c r="P646">
        <v>7</v>
      </c>
      <c r="Q646">
        <v>8</v>
      </c>
      <c r="R646" s="2">
        <f>IPMT((0.0315/12),7,10,-9699.3089,1939.8618,1)</f>
        <v>13.268857904033165</v>
      </c>
      <c r="S646">
        <v>51</v>
      </c>
      <c r="T646" s="2">
        <v>13.268857904033165</v>
      </c>
      <c r="U646" t="s">
        <v>29</v>
      </c>
      <c r="V646" t="s">
        <v>29</v>
      </c>
    </row>
    <row r="647" spans="1:25" x14ac:dyDescent="0.25">
      <c r="A647">
        <v>5</v>
      </c>
      <c r="B647" s="1">
        <v>1020</v>
      </c>
      <c r="C647" s="2" t="s">
        <v>37</v>
      </c>
      <c r="D647" s="2">
        <v>9699.3089</v>
      </c>
      <c r="E647" s="2">
        <v>3491.7512200000019</v>
      </c>
      <c r="F647" s="1">
        <v>10</v>
      </c>
      <c r="G647" s="1">
        <v>8</v>
      </c>
      <c r="H647" s="2" t="s">
        <v>26</v>
      </c>
      <c r="J647" s="2" t="s">
        <v>26</v>
      </c>
      <c r="K647" s="2">
        <v>0</v>
      </c>
      <c r="L647" s="2" t="s">
        <v>26</v>
      </c>
      <c r="M647" s="1">
        <v>2868</v>
      </c>
      <c r="N647" t="s">
        <v>31</v>
      </c>
      <c r="O647" s="5">
        <f>EDATE(O646,1)</f>
        <v>41852</v>
      </c>
      <c r="P647">
        <v>8</v>
      </c>
      <c r="Q647">
        <v>9</v>
      </c>
      <c r="R647" s="2">
        <f>IPMT((0.0315/12),8,10,-9699.3089,1939.8618,1)</f>
        <v>11.229389238563247</v>
      </c>
      <c r="S647">
        <v>51</v>
      </c>
      <c r="T647" s="2">
        <v>11.229389238563247</v>
      </c>
      <c r="U647" t="s">
        <v>29</v>
      </c>
      <c r="V647" t="s">
        <v>29</v>
      </c>
    </row>
    <row r="648" spans="1:25" x14ac:dyDescent="0.25">
      <c r="A648">
        <v>5</v>
      </c>
      <c r="B648" s="1">
        <v>1020</v>
      </c>
      <c r="C648" s="2" t="s">
        <v>37</v>
      </c>
      <c r="D648" s="2">
        <v>9699.3089</v>
      </c>
      <c r="E648" s="2">
        <v>2715.8065100000022</v>
      </c>
      <c r="F648" s="1">
        <v>10</v>
      </c>
      <c r="G648" s="1">
        <v>9</v>
      </c>
      <c r="H648" s="2" t="s">
        <v>26</v>
      </c>
      <c r="J648" s="2" t="s">
        <v>26</v>
      </c>
      <c r="K648" s="2">
        <v>0</v>
      </c>
      <c r="L648" s="2" t="s">
        <v>26</v>
      </c>
      <c r="M648" s="1">
        <v>2868</v>
      </c>
      <c r="N648" t="s">
        <v>31</v>
      </c>
      <c r="O648" s="5">
        <f>EDATE(O647,1)</f>
        <v>41883</v>
      </c>
      <c r="P648">
        <v>9</v>
      </c>
      <c r="Q648">
        <v>10</v>
      </c>
      <c r="R648" s="2">
        <f>IPMT((0.0315/12),9,10,-9699.3089,1939.8618,1)</f>
        <v>9.1845669678464716</v>
      </c>
      <c r="S648">
        <v>51</v>
      </c>
      <c r="T648" s="2">
        <v>9.1845669678464716</v>
      </c>
      <c r="U648" t="s">
        <v>29</v>
      </c>
      <c r="V648" t="s">
        <v>29</v>
      </c>
    </row>
    <row r="649" spans="1:25" x14ac:dyDescent="0.25">
      <c r="A649">
        <v>5</v>
      </c>
      <c r="B649" s="1">
        <v>1020</v>
      </c>
      <c r="C649" s="2" t="s">
        <v>37</v>
      </c>
      <c r="D649" s="2">
        <v>9699.3089</v>
      </c>
      <c r="E649" s="2">
        <v>1939.8618000000022</v>
      </c>
      <c r="F649" s="1">
        <v>10</v>
      </c>
      <c r="G649" s="1">
        <v>10</v>
      </c>
      <c r="H649" s="2" t="s">
        <v>26</v>
      </c>
      <c r="J649" s="2" t="s">
        <v>26</v>
      </c>
      <c r="K649" s="2">
        <v>0</v>
      </c>
      <c r="L649" s="2" t="s">
        <v>26</v>
      </c>
      <c r="M649" s="1">
        <v>2868</v>
      </c>
      <c r="N649" t="s">
        <v>31</v>
      </c>
      <c r="O649" s="5">
        <f>EDATE(O648,1)</f>
        <v>41913</v>
      </c>
      <c r="P649">
        <v>10</v>
      </c>
      <c r="Q649">
        <v>11</v>
      </c>
      <c r="R649" s="2">
        <f>IPMT((0.0315/12),10,10,-9699.3089,1939.8618,1)</f>
        <v>7.1343770386690641</v>
      </c>
      <c r="S649">
        <v>51</v>
      </c>
      <c r="T649" s="2">
        <v>7.1343770386690641</v>
      </c>
      <c r="U649" t="s">
        <v>29</v>
      </c>
      <c r="V649" t="s">
        <v>29</v>
      </c>
    </row>
    <row r="650" spans="1:25" x14ac:dyDescent="0.25">
      <c r="A650">
        <v>5</v>
      </c>
      <c r="B650" s="1">
        <v>1020</v>
      </c>
      <c r="C650" s="2" t="s">
        <v>37</v>
      </c>
      <c r="D650" s="2">
        <v>9699.3089</v>
      </c>
      <c r="E650" s="2">
        <v>1163.9170900000022</v>
      </c>
      <c r="F650" s="1">
        <v>10</v>
      </c>
      <c r="G650" s="1">
        <v>11</v>
      </c>
      <c r="H650" s="2" t="s">
        <v>26</v>
      </c>
      <c r="J650" s="2" t="s">
        <v>26</v>
      </c>
      <c r="K650" s="2">
        <v>0</v>
      </c>
      <c r="L650" s="2" t="s">
        <v>26</v>
      </c>
      <c r="M650" s="1">
        <v>2868</v>
      </c>
      <c r="N650" t="s">
        <v>31</v>
      </c>
      <c r="O650" s="5">
        <f>EDATE(O649,1)</f>
        <v>41944</v>
      </c>
      <c r="P650">
        <v>11</v>
      </c>
      <c r="Q650">
        <v>999</v>
      </c>
      <c r="R650" s="2">
        <v>0</v>
      </c>
      <c r="S650">
        <v>51</v>
      </c>
      <c r="T650" s="2">
        <v>0</v>
      </c>
      <c r="U650" t="s">
        <v>29</v>
      </c>
      <c r="V650" t="s">
        <v>29</v>
      </c>
      <c r="W650">
        <v>0</v>
      </c>
      <c r="X650">
        <v>0</v>
      </c>
      <c r="Y650">
        <v>0</v>
      </c>
    </row>
    <row r="651" spans="1:25" x14ac:dyDescent="0.25">
      <c r="A651">
        <v>5</v>
      </c>
      <c r="B651" s="1">
        <v>1020</v>
      </c>
      <c r="C651" s="2" t="s">
        <v>37</v>
      </c>
      <c r="D651" s="2">
        <v>9699.3089</v>
      </c>
      <c r="E651" s="2">
        <v>8923.3641900000002</v>
      </c>
      <c r="F651" s="1">
        <v>10</v>
      </c>
      <c r="G651" s="1">
        <v>1</v>
      </c>
      <c r="H651" s="2" t="s">
        <v>26</v>
      </c>
      <c r="J651" s="2" t="s">
        <v>26</v>
      </c>
      <c r="K651" s="2">
        <v>0</v>
      </c>
      <c r="L651" s="2" t="s">
        <v>26</v>
      </c>
      <c r="M651" s="1">
        <v>2872</v>
      </c>
      <c r="N651" t="s">
        <v>32</v>
      </c>
      <c r="O651" s="5">
        <v>41640</v>
      </c>
      <c r="P651">
        <v>1</v>
      </c>
      <c r="Q651">
        <v>2</v>
      </c>
      <c r="R651" s="2">
        <v>0</v>
      </c>
      <c r="S651">
        <v>51</v>
      </c>
      <c r="T651" s="2">
        <v>0</v>
      </c>
      <c r="U651" t="s">
        <v>29</v>
      </c>
      <c r="V651" t="s">
        <v>29</v>
      </c>
    </row>
    <row r="652" spans="1:25" x14ac:dyDescent="0.25">
      <c r="A652">
        <v>5</v>
      </c>
      <c r="B652" s="1">
        <v>1020</v>
      </c>
      <c r="C652" s="2" t="s">
        <v>37</v>
      </c>
      <c r="D652" s="2">
        <v>9699.3089</v>
      </c>
      <c r="E652" s="2">
        <v>8147.4194800000005</v>
      </c>
      <c r="F652" s="1">
        <v>10</v>
      </c>
      <c r="G652" s="1">
        <v>2</v>
      </c>
      <c r="H652" s="2" t="s">
        <v>26</v>
      </c>
      <c r="J652" s="2" t="s">
        <v>26</v>
      </c>
      <c r="K652" s="2">
        <v>0</v>
      </c>
      <c r="L652" s="2" t="s">
        <v>26</v>
      </c>
      <c r="M652" s="1">
        <v>2872</v>
      </c>
      <c r="N652" t="s">
        <v>32</v>
      </c>
      <c r="O652" s="5">
        <f>EDATE(O651,1)</f>
        <v>41671</v>
      </c>
      <c r="P652">
        <v>2</v>
      </c>
      <c r="Q652">
        <v>3</v>
      </c>
      <c r="R652" s="2">
        <v>0</v>
      </c>
      <c r="S652">
        <v>51</v>
      </c>
      <c r="T652" s="2">
        <v>0</v>
      </c>
      <c r="U652" t="s">
        <v>29</v>
      </c>
      <c r="V652" t="s">
        <v>29</v>
      </c>
    </row>
    <row r="653" spans="1:25" x14ac:dyDescent="0.25">
      <c r="A653">
        <v>5</v>
      </c>
      <c r="B653" s="1">
        <v>1020</v>
      </c>
      <c r="C653" s="2" t="s">
        <v>37</v>
      </c>
      <c r="D653" s="2">
        <v>9699.3089</v>
      </c>
      <c r="E653" s="2">
        <v>7371.4747700000007</v>
      </c>
      <c r="F653" s="1">
        <v>10</v>
      </c>
      <c r="G653" s="1">
        <v>3</v>
      </c>
      <c r="H653" s="2" t="s">
        <v>26</v>
      </c>
      <c r="J653" s="2" t="s">
        <v>26</v>
      </c>
      <c r="K653" s="2">
        <v>0</v>
      </c>
      <c r="L653" s="2" t="s">
        <v>26</v>
      </c>
      <c r="M653" s="1">
        <v>2872</v>
      </c>
      <c r="N653" t="s">
        <v>32</v>
      </c>
      <c r="O653" s="5">
        <f>EDATE(O652,1)</f>
        <v>41699</v>
      </c>
      <c r="P653">
        <v>3</v>
      </c>
      <c r="Q653">
        <v>4</v>
      </c>
      <c r="R653" s="2">
        <v>0</v>
      </c>
      <c r="S653">
        <v>51</v>
      </c>
      <c r="T653" s="2">
        <v>0</v>
      </c>
      <c r="U653" t="s">
        <v>29</v>
      </c>
      <c r="V653" t="s">
        <v>29</v>
      </c>
    </row>
    <row r="654" spans="1:25" x14ac:dyDescent="0.25">
      <c r="A654">
        <v>5</v>
      </c>
      <c r="B654" s="1">
        <v>1020</v>
      </c>
      <c r="C654" s="2" t="s">
        <v>37</v>
      </c>
      <c r="D654" s="2">
        <v>9699.3089</v>
      </c>
      <c r="E654" s="2">
        <v>6595.530060000001</v>
      </c>
      <c r="F654" s="1">
        <v>10</v>
      </c>
      <c r="G654" s="1">
        <v>4</v>
      </c>
      <c r="H654" s="2" t="s">
        <v>26</v>
      </c>
      <c r="J654" s="2" t="s">
        <v>26</v>
      </c>
      <c r="K654" s="2">
        <v>0</v>
      </c>
      <c r="L654" s="2" t="s">
        <v>26</v>
      </c>
      <c r="M654" s="1">
        <v>2872</v>
      </c>
      <c r="N654" t="s">
        <v>32</v>
      </c>
      <c r="O654" s="5">
        <f>EDATE(O653,1)</f>
        <v>41730</v>
      </c>
      <c r="P654">
        <v>4</v>
      </c>
      <c r="Q654">
        <v>5</v>
      </c>
      <c r="R654" s="2">
        <v>0</v>
      </c>
      <c r="S654">
        <v>51</v>
      </c>
      <c r="T654" s="2">
        <v>0</v>
      </c>
      <c r="U654" t="s">
        <v>29</v>
      </c>
      <c r="V654" t="s">
        <v>29</v>
      </c>
    </row>
    <row r="655" spans="1:25" x14ac:dyDescent="0.25">
      <c r="A655">
        <v>5</v>
      </c>
      <c r="B655" s="1">
        <v>1020</v>
      </c>
      <c r="C655" s="2" t="s">
        <v>37</v>
      </c>
      <c r="D655" s="2">
        <v>9699.3089</v>
      </c>
      <c r="E655" s="2">
        <v>5819.5853500000012</v>
      </c>
      <c r="F655" s="1">
        <v>10</v>
      </c>
      <c r="G655" s="1">
        <v>5</v>
      </c>
      <c r="H655" s="2" t="s">
        <v>26</v>
      </c>
      <c r="J655" s="2" t="s">
        <v>26</v>
      </c>
      <c r="K655" s="2">
        <v>0</v>
      </c>
      <c r="L655" s="2" t="s">
        <v>26</v>
      </c>
      <c r="M655" s="1">
        <v>2872</v>
      </c>
      <c r="N655" t="s">
        <v>32</v>
      </c>
      <c r="O655" s="5">
        <f>EDATE(O654,1)</f>
        <v>41760</v>
      </c>
      <c r="P655">
        <v>5</v>
      </c>
      <c r="Q655">
        <v>6</v>
      </c>
      <c r="R655" s="2">
        <v>0</v>
      </c>
      <c r="S655">
        <v>51</v>
      </c>
      <c r="T655" s="2">
        <v>0</v>
      </c>
      <c r="U655" t="s">
        <v>29</v>
      </c>
      <c r="V655" t="s">
        <v>29</v>
      </c>
    </row>
    <row r="656" spans="1:25" x14ac:dyDescent="0.25">
      <c r="A656">
        <v>5</v>
      </c>
      <c r="B656" s="1">
        <v>1020</v>
      </c>
      <c r="C656" s="2" t="s">
        <v>37</v>
      </c>
      <c r="D656" s="2">
        <v>9699.3089</v>
      </c>
      <c r="E656" s="2">
        <v>5043.6406400000014</v>
      </c>
      <c r="F656" s="1">
        <v>10</v>
      </c>
      <c r="G656" s="1">
        <v>6</v>
      </c>
      <c r="H656" s="2" t="s">
        <v>26</v>
      </c>
      <c r="J656" s="2" t="s">
        <v>26</v>
      </c>
      <c r="K656" s="2">
        <v>0</v>
      </c>
      <c r="L656" s="2" t="s">
        <v>26</v>
      </c>
      <c r="M656" s="1">
        <v>2872</v>
      </c>
      <c r="N656" t="s">
        <v>32</v>
      </c>
      <c r="O656" s="5">
        <f>EDATE(O655,1)</f>
        <v>41791</v>
      </c>
      <c r="P656">
        <v>6</v>
      </c>
      <c r="Q656">
        <v>7</v>
      </c>
      <c r="R656" s="2">
        <v>0</v>
      </c>
      <c r="S656">
        <v>51</v>
      </c>
      <c r="T656" s="2">
        <v>0</v>
      </c>
      <c r="U656" t="s">
        <v>29</v>
      </c>
      <c r="V656" t="s">
        <v>29</v>
      </c>
    </row>
    <row r="657" spans="1:25" x14ac:dyDescent="0.25">
      <c r="A657">
        <v>5</v>
      </c>
      <c r="B657" s="1">
        <v>1020</v>
      </c>
      <c r="C657" s="2" t="s">
        <v>37</v>
      </c>
      <c r="D657" s="2">
        <v>9699.3089</v>
      </c>
      <c r="E657" s="2">
        <v>4267.6959300000017</v>
      </c>
      <c r="F657" s="1">
        <v>10</v>
      </c>
      <c r="G657" s="1">
        <v>7</v>
      </c>
      <c r="H657" s="2" t="s">
        <v>26</v>
      </c>
      <c r="J657" s="2" t="s">
        <v>26</v>
      </c>
      <c r="K657" s="2">
        <v>0</v>
      </c>
      <c r="L657" s="2" t="s">
        <v>26</v>
      </c>
      <c r="M657" s="1">
        <v>2872</v>
      </c>
      <c r="N657" t="s">
        <v>32</v>
      </c>
      <c r="O657" s="5">
        <f>EDATE(O656,1)</f>
        <v>41821</v>
      </c>
      <c r="P657">
        <v>7</v>
      </c>
      <c r="Q657">
        <v>8</v>
      </c>
      <c r="R657" s="2">
        <v>0</v>
      </c>
      <c r="S657">
        <v>51</v>
      </c>
      <c r="T657" s="2">
        <v>0</v>
      </c>
      <c r="U657" t="s">
        <v>29</v>
      </c>
      <c r="V657" t="s">
        <v>29</v>
      </c>
    </row>
    <row r="658" spans="1:25" x14ac:dyDescent="0.25">
      <c r="A658">
        <v>5</v>
      </c>
      <c r="B658" s="1">
        <v>1020</v>
      </c>
      <c r="C658" s="2" t="s">
        <v>37</v>
      </c>
      <c r="D658" s="2">
        <v>9699.3089</v>
      </c>
      <c r="E658" s="2">
        <v>3491.7512200000019</v>
      </c>
      <c r="F658" s="1">
        <v>10</v>
      </c>
      <c r="G658" s="1">
        <v>8</v>
      </c>
      <c r="H658" s="2" t="s">
        <v>26</v>
      </c>
      <c r="J658" s="2" t="s">
        <v>26</v>
      </c>
      <c r="K658" s="2">
        <v>0</v>
      </c>
      <c r="L658" s="2" t="s">
        <v>26</v>
      </c>
      <c r="M658" s="1">
        <v>2872</v>
      </c>
      <c r="N658" t="s">
        <v>32</v>
      </c>
      <c r="O658" s="5">
        <f>EDATE(O657,1)</f>
        <v>41852</v>
      </c>
      <c r="P658">
        <v>8</v>
      </c>
      <c r="Q658">
        <v>9</v>
      </c>
      <c r="R658" s="2">
        <v>0</v>
      </c>
      <c r="S658">
        <v>51</v>
      </c>
      <c r="T658" s="2">
        <v>0</v>
      </c>
      <c r="U658" t="s">
        <v>29</v>
      </c>
      <c r="V658" t="s">
        <v>29</v>
      </c>
    </row>
    <row r="659" spans="1:25" x14ac:dyDescent="0.25">
      <c r="A659">
        <v>5</v>
      </c>
      <c r="B659" s="1">
        <v>1020</v>
      </c>
      <c r="C659" s="2" t="s">
        <v>37</v>
      </c>
      <c r="D659" s="2">
        <v>9699.3089</v>
      </c>
      <c r="E659" s="2">
        <v>2715.8065100000022</v>
      </c>
      <c r="F659" s="1">
        <v>10</v>
      </c>
      <c r="G659" s="1">
        <v>9</v>
      </c>
      <c r="H659" s="2" t="s">
        <v>26</v>
      </c>
      <c r="J659" s="2" t="s">
        <v>26</v>
      </c>
      <c r="K659" s="2">
        <v>0</v>
      </c>
      <c r="L659" s="2" t="s">
        <v>26</v>
      </c>
      <c r="M659" s="1">
        <v>2872</v>
      </c>
      <c r="N659" t="s">
        <v>32</v>
      </c>
      <c r="O659" s="5">
        <f>EDATE(O658,1)</f>
        <v>41883</v>
      </c>
      <c r="P659">
        <v>9</v>
      </c>
      <c r="Q659">
        <v>10</v>
      </c>
      <c r="R659" s="2">
        <v>0</v>
      </c>
      <c r="S659">
        <v>51</v>
      </c>
      <c r="T659" s="2">
        <v>0</v>
      </c>
      <c r="U659" t="s">
        <v>29</v>
      </c>
      <c r="V659" t="s">
        <v>29</v>
      </c>
    </row>
    <row r="660" spans="1:25" x14ac:dyDescent="0.25">
      <c r="A660">
        <v>5</v>
      </c>
      <c r="B660" s="1">
        <v>1020</v>
      </c>
      <c r="C660" s="2" t="s">
        <v>37</v>
      </c>
      <c r="D660" s="2">
        <v>9699.3089</v>
      </c>
      <c r="E660" s="2">
        <v>1939.8618000000022</v>
      </c>
      <c r="F660" s="1">
        <v>10</v>
      </c>
      <c r="G660" s="1">
        <v>10</v>
      </c>
      <c r="H660" s="2" t="s">
        <v>26</v>
      </c>
      <c r="J660" s="2" t="s">
        <v>26</v>
      </c>
      <c r="K660" s="2">
        <v>0</v>
      </c>
      <c r="L660" s="2" t="s">
        <v>26</v>
      </c>
      <c r="M660" s="1">
        <v>2872</v>
      </c>
      <c r="N660" t="s">
        <v>32</v>
      </c>
      <c r="O660" s="5">
        <f>EDATE(O659,1)</f>
        <v>41913</v>
      </c>
      <c r="P660">
        <v>10</v>
      </c>
      <c r="Q660">
        <v>11</v>
      </c>
      <c r="R660" s="2">
        <v>0</v>
      </c>
      <c r="S660">
        <v>51</v>
      </c>
      <c r="T660" s="2">
        <v>0</v>
      </c>
      <c r="U660" t="s">
        <v>29</v>
      </c>
      <c r="V660" t="s">
        <v>29</v>
      </c>
    </row>
    <row r="661" spans="1:25" x14ac:dyDescent="0.25">
      <c r="A661">
        <v>5</v>
      </c>
      <c r="B661" s="1">
        <v>1020</v>
      </c>
      <c r="C661" s="2" t="s">
        <v>37</v>
      </c>
      <c r="D661" s="2">
        <v>9699.3089</v>
      </c>
      <c r="E661" s="2">
        <v>1163.9170900000022</v>
      </c>
      <c r="F661" s="1">
        <v>10</v>
      </c>
      <c r="G661" s="1">
        <v>11</v>
      </c>
      <c r="H661" s="2" t="s">
        <v>26</v>
      </c>
      <c r="J661" s="2" t="s">
        <v>26</v>
      </c>
      <c r="K661" s="2">
        <v>0</v>
      </c>
      <c r="L661" s="2" t="s">
        <v>26</v>
      </c>
      <c r="M661" s="1">
        <v>2872</v>
      </c>
      <c r="N661" t="s">
        <v>32</v>
      </c>
      <c r="O661" s="5">
        <f>EDATE(O660,1)</f>
        <v>41944</v>
      </c>
      <c r="P661">
        <v>11</v>
      </c>
      <c r="Q661">
        <v>999</v>
      </c>
      <c r="R661" s="2">
        <v>0</v>
      </c>
      <c r="S661">
        <v>51</v>
      </c>
      <c r="T661" s="2">
        <v>0</v>
      </c>
      <c r="U661" t="s">
        <v>29</v>
      </c>
      <c r="V661" t="s">
        <v>29</v>
      </c>
      <c r="W661">
        <v>0</v>
      </c>
      <c r="X661">
        <v>0</v>
      </c>
      <c r="Y661">
        <v>0</v>
      </c>
    </row>
    <row r="662" spans="1:25" x14ac:dyDescent="0.25">
      <c r="A662">
        <v>5</v>
      </c>
      <c r="B662" s="1">
        <v>1020</v>
      </c>
      <c r="C662" s="2" t="s">
        <v>37</v>
      </c>
      <c r="D662" s="2">
        <v>9699.3089</v>
      </c>
      <c r="E662" s="2">
        <v>8923.3641900000002</v>
      </c>
      <c r="F662" s="1">
        <v>10</v>
      </c>
      <c r="G662" s="1">
        <v>1</v>
      </c>
      <c r="H662" s="2" t="s">
        <v>26</v>
      </c>
      <c r="J662" s="2" t="s">
        <v>26</v>
      </c>
      <c r="K662" s="2">
        <v>0</v>
      </c>
      <c r="L662" s="2" t="s">
        <v>26</v>
      </c>
      <c r="M662" s="1">
        <v>2896</v>
      </c>
      <c r="N662" t="s">
        <v>33</v>
      </c>
      <c r="O662" s="5">
        <v>41640</v>
      </c>
      <c r="P662">
        <v>1</v>
      </c>
      <c r="Q662">
        <v>2</v>
      </c>
      <c r="R662" s="2">
        <f>PPMT((0.0315/12),1,10,0,0,1)</f>
        <v>0</v>
      </c>
      <c r="S662">
        <v>51</v>
      </c>
      <c r="T662" s="2">
        <v>0</v>
      </c>
      <c r="U662" t="s">
        <v>29</v>
      </c>
      <c r="V662" t="s">
        <v>29</v>
      </c>
    </row>
    <row r="663" spans="1:25" x14ac:dyDescent="0.25">
      <c r="A663">
        <v>5</v>
      </c>
      <c r="B663" s="1">
        <v>1020</v>
      </c>
      <c r="C663" s="2" t="s">
        <v>37</v>
      </c>
      <c r="D663" s="2">
        <v>9699.3089</v>
      </c>
      <c r="E663" s="2">
        <v>8147.4194800000005</v>
      </c>
      <c r="F663" s="1">
        <v>10</v>
      </c>
      <c r="G663" s="1">
        <v>2</v>
      </c>
      <c r="H663" s="2" t="s">
        <v>26</v>
      </c>
      <c r="J663" s="2" t="s">
        <v>26</v>
      </c>
      <c r="K663" s="2">
        <v>0</v>
      </c>
      <c r="L663" s="2" t="s">
        <v>26</v>
      </c>
      <c r="M663" s="1">
        <v>2896</v>
      </c>
      <c r="N663" t="s">
        <v>33</v>
      </c>
      <c r="O663" s="5">
        <f>EDATE(O662,1)</f>
        <v>41671</v>
      </c>
      <c r="P663">
        <v>2</v>
      </c>
      <c r="Q663">
        <v>3</v>
      </c>
      <c r="R663" s="2">
        <f>PPMT((0.0315/12),2,10,0,0,1)</f>
        <v>0</v>
      </c>
      <c r="S663">
        <v>51</v>
      </c>
      <c r="T663" s="2">
        <v>0</v>
      </c>
      <c r="U663" t="s">
        <v>29</v>
      </c>
      <c r="V663" t="s">
        <v>29</v>
      </c>
    </row>
    <row r="664" spans="1:25" x14ac:dyDescent="0.25">
      <c r="A664">
        <v>5</v>
      </c>
      <c r="B664" s="1">
        <v>1020</v>
      </c>
      <c r="C664" s="2" t="s">
        <v>37</v>
      </c>
      <c r="D664" s="2">
        <v>9699.3089</v>
      </c>
      <c r="E664" s="2">
        <v>7371.4747700000007</v>
      </c>
      <c r="F664" s="1">
        <v>10</v>
      </c>
      <c r="G664" s="1">
        <v>3</v>
      </c>
      <c r="H664" s="2" t="s">
        <v>26</v>
      </c>
      <c r="J664" s="2" t="s">
        <v>26</v>
      </c>
      <c r="K664" s="2">
        <v>0</v>
      </c>
      <c r="L664" s="2" t="s">
        <v>26</v>
      </c>
      <c r="M664" s="1">
        <v>2896</v>
      </c>
      <c r="N664" t="s">
        <v>33</v>
      </c>
      <c r="O664" s="5">
        <f>EDATE(O663,1)</f>
        <v>41699</v>
      </c>
      <c r="P664">
        <v>3</v>
      </c>
      <c r="Q664">
        <v>4</v>
      </c>
      <c r="R664" s="2">
        <f>PPMT((0.0315/12),3,10,0,0,1)</f>
        <v>0</v>
      </c>
      <c r="S664">
        <v>51</v>
      </c>
      <c r="T664" s="2">
        <v>0</v>
      </c>
      <c r="U664" t="s">
        <v>29</v>
      </c>
      <c r="V664" t="s">
        <v>29</v>
      </c>
    </row>
    <row r="665" spans="1:25" x14ac:dyDescent="0.25">
      <c r="A665">
        <v>5</v>
      </c>
      <c r="B665" s="1">
        <v>1020</v>
      </c>
      <c r="C665" s="2" t="s">
        <v>37</v>
      </c>
      <c r="D665" s="2">
        <v>9699.3089</v>
      </c>
      <c r="E665" s="2">
        <v>6595.530060000001</v>
      </c>
      <c r="F665" s="1">
        <v>10</v>
      </c>
      <c r="G665" s="1">
        <v>4</v>
      </c>
      <c r="H665" s="2" t="s">
        <v>26</v>
      </c>
      <c r="J665" s="2" t="s">
        <v>26</v>
      </c>
      <c r="K665" s="2">
        <v>0</v>
      </c>
      <c r="L665" s="2" t="s">
        <v>26</v>
      </c>
      <c r="M665" s="1">
        <v>2896</v>
      </c>
      <c r="N665" t="s">
        <v>33</v>
      </c>
      <c r="O665" s="5">
        <f>EDATE(O664,1)</f>
        <v>41730</v>
      </c>
      <c r="P665">
        <v>4</v>
      </c>
      <c r="Q665">
        <v>5</v>
      </c>
      <c r="R665" s="2">
        <f>PPMT((0.0315/12),4,10,0,0,1)</f>
        <v>0</v>
      </c>
      <c r="S665">
        <v>51</v>
      </c>
      <c r="T665" s="2">
        <v>0</v>
      </c>
      <c r="U665" t="s">
        <v>29</v>
      </c>
      <c r="V665" t="s">
        <v>29</v>
      </c>
    </row>
    <row r="666" spans="1:25" x14ac:dyDescent="0.25">
      <c r="A666">
        <v>5</v>
      </c>
      <c r="B666" s="1">
        <v>1020</v>
      </c>
      <c r="C666" s="2" t="s">
        <v>37</v>
      </c>
      <c r="D666" s="2">
        <v>9699.3089</v>
      </c>
      <c r="E666" s="2">
        <v>5819.5853500000012</v>
      </c>
      <c r="F666" s="1">
        <v>10</v>
      </c>
      <c r="G666" s="1">
        <v>5</v>
      </c>
      <c r="H666" s="2" t="s">
        <v>26</v>
      </c>
      <c r="J666" s="2" t="s">
        <v>26</v>
      </c>
      <c r="K666" s="2">
        <v>0</v>
      </c>
      <c r="L666" s="2" t="s">
        <v>26</v>
      </c>
      <c r="M666" s="1">
        <v>2896</v>
      </c>
      <c r="N666" t="s">
        <v>33</v>
      </c>
      <c r="O666" s="5">
        <f>EDATE(O665,1)</f>
        <v>41760</v>
      </c>
      <c r="P666">
        <v>5</v>
      </c>
      <c r="Q666">
        <v>6</v>
      </c>
      <c r="R666" s="2">
        <f>PPMT((0.0315/12),5,10,0,0,1)</f>
        <v>0</v>
      </c>
      <c r="S666">
        <v>51</v>
      </c>
      <c r="T666" s="2">
        <v>0</v>
      </c>
      <c r="U666" t="s">
        <v>29</v>
      </c>
      <c r="V666" t="s">
        <v>29</v>
      </c>
    </row>
    <row r="667" spans="1:25" x14ac:dyDescent="0.25">
      <c r="A667">
        <v>5</v>
      </c>
      <c r="B667" s="1">
        <v>1020</v>
      </c>
      <c r="C667" s="2" t="s">
        <v>37</v>
      </c>
      <c r="D667" s="2">
        <v>9699.3089</v>
      </c>
      <c r="E667" s="2">
        <v>5043.6406400000014</v>
      </c>
      <c r="F667" s="1">
        <v>10</v>
      </c>
      <c r="G667" s="1">
        <v>6</v>
      </c>
      <c r="H667" s="2" t="s">
        <v>26</v>
      </c>
      <c r="J667" s="2" t="s">
        <v>26</v>
      </c>
      <c r="K667" s="2">
        <v>0</v>
      </c>
      <c r="L667" s="2" t="s">
        <v>26</v>
      </c>
      <c r="M667" s="1">
        <v>2896</v>
      </c>
      <c r="N667" t="s">
        <v>33</v>
      </c>
      <c r="O667" s="5">
        <f>EDATE(O666,1)</f>
        <v>41791</v>
      </c>
      <c r="P667">
        <v>6</v>
      </c>
      <c r="Q667">
        <v>7</v>
      </c>
      <c r="R667" s="2">
        <f>PPMT((0.0315/12),6,10,0,0,1)</f>
        <v>0</v>
      </c>
      <c r="S667">
        <v>51</v>
      </c>
      <c r="T667" s="2">
        <v>0</v>
      </c>
      <c r="U667" t="s">
        <v>29</v>
      </c>
      <c r="V667" t="s">
        <v>29</v>
      </c>
    </row>
    <row r="668" spans="1:25" x14ac:dyDescent="0.25">
      <c r="A668">
        <v>5</v>
      </c>
      <c r="B668" s="1">
        <v>1020</v>
      </c>
      <c r="C668" s="2" t="s">
        <v>37</v>
      </c>
      <c r="D668" s="2">
        <v>9699.3089</v>
      </c>
      <c r="E668" s="2">
        <v>4267.6959300000017</v>
      </c>
      <c r="F668" s="1">
        <v>10</v>
      </c>
      <c r="G668" s="1">
        <v>7</v>
      </c>
      <c r="H668" s="2" t="s">
        <v>26</v>
      </c>
      <c r="J668" s="2" t="s">
        <v>26</v>
      </c>
      <c r="K668" s="2">
        <v>0</v>
      </c>
      <c r="L668" s="2" t="s">
        <v>26</v>
      </c>
      <c r="M668" s="1">
        <v>2896</v>
      </c>
      <c r="N668" t="s">
        <v>33</v>
      </c>
      <c r="O668" s="5">
        <f>EDATE(O667,1)</f>
        <v>41821</v>
      </c>
      <c r="P668">
        <v>7</v>
      </c>
      <c r="Q668">
        <v>8</v>
      </c>
      <c r="R668" s="2">
        <f>PPMT((0.0315/12),7,10,0,0,1)</f>
        <v>0</v>
      </c>
      <c r="S668">
        <v>51</v>
      </c>
      <c r="T668" s="2">
        <v>0</v>
      </c>
      <c r="U668" t="s">
        <v>29</v>
      </c>
      <c r="V668" t="s">
        <v>29</v>
      </c>
    </row>
    <row r="669" spans="1:25" x14ac:dyDescent="0.25">
      <c r="A669">
        <v>5</v>
      </c>
      <c r="B669" s="1">
        <v>1020</v>
      </c>
      <c r="C669" s="2" t="s">
        <v>37</v>
      </c>
      <c r="D669" s="2">
        <v>9699.3089</v>
      </c>
      <c r="E669" s="2">
        <v>3491.7512200000019</v>
      </c>
      <c r="F669" s="1">
        <v>10</v>
      </c>
      <c r="G669" s="1">
        <v>8</v>
      </c>
      <c r="H669" s="2" t="s">
        <v>26</v>
      </c>
      <c r="J669" s="2" t="s">
        <v>26</v>
      </c>
      <c r="K669" s="2">
        <v>0</v>
      </c>
      <c r="L669" s="2" t="s">
        <v>26</v>
      </c>
      <c r="M669" s="1">
        <v>2896</v>
      </c>
      <c r="N669" t="s">
        <v>33</v>
      </c>
      <c r="O669" s="5">
        <f>EDATE(O668,1)</f>
        <v>41852</v>
      </c>
      <c r="P669">
        <v>8</v>
      </c>
      <c r="Q669">
        <v>9</v>
      </c>
      <c r="R669" s="2">
        <f>PPMT((0.0315/12),8,10,0,0,1)</f>
        <v>0</v>
      </c>
      <c r="S669">
        <v>51</v>
      </c>
      <c r="T669" s="2">
        <v>0</v>
      </c>
      <c r="U669" t="s">
        <v>29</v>
      </c>
      <c r="V669" t="s">
        <v>29</v>
      </c>
    </row>
    <row r="670" spans="1:25" x14ac:dyDescent="0.25">
      <c r="A670">
        <v>5</v>
      </c>
      <c r="B670" s="1">
        <v>1020</v>
      </c>
      <c r="C670" s="2" t="s">
        <v>37</v>
      </c>
      <c r="D670" s="2">
        <v>9699.3089</v>
      </c>
      <c r="E670" s="2">
        <v>2715.8065100000022</v>
      </c>
      <c r="F670" s="1">
        <v>10</v>
      </c>
      <c r="G670" s="1">
        <v>9</v>
      </c>
      <c r="H670" s="2" t="s">
        <v>26</v>
      </c>
      <c r="J670" s="2" t="s">
        <v>26</v>
      </c>
      <c r="K670" s="2">
        <v>0</v>
      </c>
      <c r="L670" s="2" t="s">
        <v>26</v>
      </c>
      <c r="M670" s="1">
        <v>2896</v>
      </c>
      <c r="N670" t="s">
        <v>33</v>
      </c>
      <c r="O670" s="5">
        <f>EDATE(O669,1)</f>
        <v>41883</v>
      </c>
      <c r="P670">
        <v>9</v>
      </c>
      <c r="Q670">
        <v>10</v>
      </c>
      <c r="R670" s="2">
        <f>PPMT((0.0315/12),9,10,0,0,1)</f>
        <v>0</v>
      </c>
      <c r="S670">
        <v>51</v>
      </c>
      <c r="T670" s="2">
        <v>0</v>
      </c>
      <c r="U670" t="s">
        <v>29</v>
      </c>
      <c r="V670" t="s">
        <v>29</v>
      </c>
    </row>
    <row r="671" spans="1:25" x14ac:dyDescent="0.25">
      <c r="A671">
        <v>5</v>
      </c>
      <c r="B671" s="1">
        <v>1020</v>
      </c>
      <c r="C671" s="2" t="s">
        <v>37</v>
      </c>
      <c r="D671" s="2">
        <v>9699.3089</v>
      </c>
      <c r="E671" s="2">
        <v>1939.8618000000022</v>
      </c>
      <c r="F671" s="1">
        <v>10</v>
      </c>
      <c r="G671" s="1">
        <v>10</v>
      </c>
      <c r="H671" s="2" t="s">
        <v>26</v>
      </c>
      <c r="J671" s="2" t="s">
        <v>26</v>
      </c>
      <c r="K671" s="2">
        <v>0</v>
      </c>
      <c r="L671" s="2" t="s">
        <v>26</v>
      </c>
      <c r="M671" s="1">
        <v>2896</v>
      </c>
      <c r="N671" t="s">
        <v>33</v>
      </c>
      <c r="O671" s="5">
        <f>EDATE(O670,1)</f>
        <v>41913</v>
      </c>
      <c r="P671">
        <v>10</v>
      </c>
      <c r="Q671">
        <v>11</v>
      </c>
      <c r="R671" s="2">
        <f>PPMT((0.0315/12),10,10,0,0,1)</f>
        <v>0</v>
      </c>
      <c r="S671">
        <v>51</v>
      </c>
      <c r="T671" s="2">
        <v>0</v>
      </c>
      <c r="U671" t="s">
        <v>29</v>
      </c>
      <c r="V671" t="s">
        <v>29</v>
      </c>
    </row>
    <row r="672" spans="1:25" x14ac:dyDescent="0.25">
      <c r="A672">
        <v>5</v>
      </c>
      <c r="B672" s="1">
        <v>1020</v>
      </c>
      <c r="C672" s="2" t="s">
        <v>37</v>
      </c>
      <c r="D672" s="2">
        <v>9699.3089</v>
      </c>
      <c r="E672" s="2">
        <v>1163.9170900000022</v>
      </c>
      <c r="F672" s="1">
        <v>10</v>
      </c>
      <c r="G672" s="1">
        <v>11</v>
      </c>
      <c r="H672" s="2" t="s">
        <v>26</v>
      </c>
      <c r="J672" s="2" t="s">
        <v>26</v>
      </c>
      <c r="K672" s="2">
        <v>0</v>
      </c>
      <c r="L672" s="2" t="s">
        <v>26</v>
      </c>
      <c r="M672" s="1">
        <v>2896</v>
      </c>
      <c r="N672" t="s">
        <v>33</v>
      </c>
      <c r="O672" s="5">
        <f>EDATE(O671,1)</f>
        <v>41944</v>
      </c>
      <c r="P672">
        <v>11</v>
      </c>
      <c r="Q672">
        <v>999</v>
      </c>
      <c r="R672" s="2">
        <v>0</v>
      </c>
      <c r="S672">
        <v>51</v>
      </c>
      <c r="T672" s="2">
        <v>0</v>
      </c>
      <c r="U672" t="s">
        <v>29</v>
      </c>
      <c r="V672" t="s">
        <v>29</v>
      </c>
      <c r="W672">
        <v>0</v>
      </c>
      <c r="X672">
        <v>0</v>
      </c>
      <c r="Y672">
        <v>0</v>
      </c>
    </row>
    <row r="673" spans="1:25" x14ac:dyDescent="0.25">
      <c r="A673">
        <v>5</v>
      </c>
      <c r="B673" s="1">
        <v>1020</v>
      </c>
      <c r="C673" s="2" t="s">
        <v>37</v>
      </c>
      <c r="D673" s="2">
        <v>9699.3089</v>
      </c>
      <c r="E673" s="2">
        <v>8923.3641900000002</v>
      </c>
      <c r="F673" s="1">
        <v>10</v>
      </c>
      <c r="G673" s="1">
        <v>1</v>
      </c>
      <c r="H673" s="2" t="s">
        <v>26</v>
      </c>
      <c r="J673" s="2" t="s">
        <v>26</v>
      </c>
      <c r="K673" s="2">
        <v>0</v>
      </c>
      <c r="L673" s="2" t="s">
        <v>26</v>
      </c>
      <c r="M673" s="1">
        <v>2897</v>
      </c>
      <c r="N673" t="s">
        <v>34</v>
      </c>
      <c r="O673" s="5">
        <v>41640</v>
      </c>
      <c r="P673">
        <v>1</v>
      </c>
      <c r="Q673">
        <v>2</v>
      </c>
      <c r="R673" s="2">
        <f>IPMT((0.0315/12),1,10,0,0,1)</f>
        <v>0</v>
      </c>
      <c r="S673">
        <v>51</v>
      </c>
      <c r="T673" s="2">
        <v>0</v>
      </c>
      <c r="U673" t="s">
        <v>29</v>
      </c>
      <c r="V673" t="s">
        <v>29</v>
      </c>
    </row>
    <row r="674" spans="1:25" x14ac:dyDescent="0.25">
      <c r="A674">
        <v>5</v>
      </c>
      <c r="B674" s="1">
        <v>1020</v>
      </c>
      <c r="C674" s="2" t="s">
        <v>37</v>
      </c>
      <c r="D674" s="2">
        <v>9699.3089</v>
      </c>
      <c r="E674" s="2">
        <v>8147.4194800000005</v>
      </c>
      <c r="F674" s="1">
        <v>10</v>
      </c>
      <c r="G674" s="1">
        <v>2</v>
      </c>
      <c r="H674" s="2" t="s">
        <v>26</v>
      </c>
      <c r="J674" s="2" t="s">
        <v>26</v>
      </c>
      <c r="K674" s="2">
        <v>0</v>
      </c>
      <c r="L674" s="2" t="s">
        <v>26</v>
      </c>
      <c r="M674" s="1">
        <v>2897</v>
      </c>
      <c r="N674" t="s">
        <v>34</v>
      </c>
      <c r="O674" s="5">
        <f>EDATE(O673,1)</f>
        <v>41671</v>
      </c>
      <c r="P674">
        <v>2</v>
      </c>
      <c r="Q674">
        <v>3</v>
      </c>
      <c r="R674" s="2">
        <f>IPMT((0.0315/12),2,10,0,0,1)</f>
        <v>0</v>
      </c>
      <c r="S674">
        <v>51</v>
      </c>
      <c r="T674" s="2">
        <v>0</v>
      </c>
      <c r="U674" t="s">
        <v>29</v>
      </c>
      <c r="V674" t="s">
        <v>29</v>
      </c>
    </row>
    <row r="675" spans="1:25" x14ac:dyDescent="0.25">
      <c r="A675">
        <v>5</v>
      </c>
      <c r="B675" s="1">
        <v>1020</v>
      </c>
      <c r="C675" s="2" t="s">
        <v>37</v>
      </c>
      <c r="D675" s="2">
        <v>9699.3089</v>
      </c>
      <c r="E675" s="2">
        <v>7371.4747700000007</v>
      </c>
      <c r="F675" s="1">
        <v>10</v>
      </c>
      <c r="G675" s="1">
        <v>3</v>
      </c>
      <c r="H675" s="2" t="s">
        <v>26</v>
      </c>
      <c r="J675" s="2" t="s">
        <v>26</v>
      </c>
      <c r="K675" s="2">
        <v>0</v>
      </c>
      <c r="L675" s="2" t="s">
        <v>26</v>
      </c>
      <c r="M675" s="1">
        <v>2897</v>
      </c>
      <c r="N675" t="s">
        <v>34</v>
      </c>
      <c r="O675" s="5">
        <f>EDATE(O674,1)</f>
        <v>41699</v>
      </c>
      <c r="P675">
        <v>3</v>
      </c>
      <c r="Q675">
        <v>4</v>
      </c>
      <c r="R675" s="2">
        <f>IPMT((0.0315/12),3,10,0,0,1)</f>
        <v>0</v>
      </c>
      <c r="S675">
        <v>51</v>
      </c>
      <c r="T675" s="2">
        <v>0</v>
      </c>
      <c r="U675" t="s">
        <v>29</v>
      </c>
      <c r="V675" t="s">
        <v>29</v>
      </c>
    </row>
    <row r="676" spans="1:25" x14ac:dyDescent="0.25">
      <c r="A676">
        <v>5</v>
      </c>
      <c r="B676" s="1">
        <v>1020</v>
      </c>
      <c r="C676" s="2" t="s">
        <v>37</v>
      </c>
      <c r="D676" s="2">
        <v>9699.3089</v>
      </c>
      <c r="E676" s="2">
        <v>6595.530060000001</v>
      </c>
      <c r="F676" s="1">
        <v>10</v>
      </c>
      <c r="G676" s="1">
        <v>4</v>
      </c>
      <c r="H676" s="2" t="s">
        <v>26</v>
      </c>
      <c r="J676" s="2" t="s">
        <v>26</v>
      </c>
      <c r="K676" s="2">
        <v>0</v>
      </c>
      <c r="L676" s="2" t="s">
        <v>26</v>
      </c>
      <c r="M676" s="1">
        <v>2897</v>
      </c>
      <c r="N676" t="s">
        <v>34</v>
      </c>
      <c r="O676" s="5">
        <f>EDATE(O675,1)</f>
        <v>41730</v>
      </c>
      <c r="P676">
        <v>4</v>
      </c>
      <c r="Q676">
        <v>5</v>
      </c>
      <c r="R676" s="2">
        <f>IPMT((0.0315/12),4,10,0,0,1)</f>
        <v>0</v>
      </c>
      <c r="S676">
        <v>51</v>
      </c>
      <c r="T676" s="2">
        <v>0</v>
      </c>
      <c r="U676" t="s">
        <v>29</v>
      </c>
      <c r="V676" t="s">
        <v>29</v>
      </c>
    </row>
    <row r="677" spans="1:25" x14ac:dyDescent="0.25">
      <c r="A677">
        <v>5</v>
      </c>
      <c r="B677" s="1">
        <v>1020</v>
      </c>
      <c r="C677" s="2" t="s">
        <v>37</v>
      </c>
      <c r="D677" s="2">
        <v>9699.3089</v>
      </c>
      <c r="E677" s="2">
        <v>5819.5853500000012</v>
      </c>
      <c r="F677" s="1">
        <v>10</v>
      </c>
      <c r="G677" s="1">
        <v>5</v>
      </c>
      <c r="H677" s="2" t="s">
        <v>26</v>
      </c>
      <c r="J677" s="2" t="s">
        <v>26</v>
      </c>
      <c r="K677" s="2">
        <v>0</v>
      </c>
      <c r="L677" s="2" t="s">
        <v>26</v>
      </c>
      <c r="M677" s="1">
        <v>2897</v>
      </c>
      <c r="N677" t="s">
        <v>34</v>
      </c>
      <c r="O677" s="5">
        <f>EDATE(O676,1)</f>
        <v>41760</v>
      </c>
      <c r="P677">
        <v>5</v>
      </c>
      <c r="Q677">
        <v>6</v>
      </c>
      <c r="R677" s="2">
        <f>IPMT((0.0315/12),5,10,0,0,1)</f>
        <v>0</v>
      </c>
      <c r="S677">
        <v>51</v>
      </c>
      <c r="T677" s="2">
        <v>0</v>
      </c>
      <c r="U677" t="s">
        <v>29</v>
      </c>
      <c r="V677" t="s">
        <v>29</v>
      </c>
    </row>
    <row r="678" spans="1:25" x14ac:dyDescent="0.25">
      <c r="A678">
        <v>5</v>
      </c>
      <c r="B678" s="1">
        <v>1020</v>
      </c>
      <c r="C678" s="2" t="s">
        <v>37</v>
      </c>
      <c r="D678" s="2">
        <v>9699.3089</v>
      </c>
      <c r="E678" s="2">
        <v>5043.6406400000014</v>
      </c>
      <c r="F678" s="1">
        <v>10</v>
      </c>
      <c r="G678" s="1">
        <v>6</v>
      </c>
      <c r="H678" s="2" t="s">
        <v>26</v>
      </c>
      <c r="J678" s="2" t="s">
        <v>26</v>
      </c>
      <c r="K678" s="2">
        <v>0</v>
      </c>
      <c r="L678" s="2" t="s">
        <v>26</v>
      </c>
      <c r="M678" s="1">
        <v>2897</v>
      </c>
      <c r="N678" t="s">
        <v>34</v>
      </c>
      <c r="O678" s="5">
        <f>EDATE(O677,1)</f>
        <v>41791</v>
      </c>
      <c r="P678">
        <v>6</v>
      </c>
      <c r="Q678">
        <v>7</v>
      </c>
      <c r="R678" s="2">
        <f>IPMT((0.0315/12),6,10,0,0,1)</f>
        <v>0</v>
      </c>
      <c r="S678">
        <v>51</v>
      </c>
      <c r="T678" s="2">
        <v>0</v>
      </c>
      <c r="U678" t="s">
        <v>29</v>
      </c>
      <c r="V678" t="s">
        <v>29</v>
      </c>
    </row>
    <row r="679" spans="1:25" x14ac:dyDescent="0.25">
      <c r="A679">
        <v>5</v>
      </c>
      <c r="B679" s="1">
        <v>1020</v>
      </c>
      <c r="C679" s="2" t="s">
        <v>37</v>
      </c>
      <c r="D679" s="2">
        <v>9699.3089</v>
      </c>
      <c r="E679" s="2">
        <v>4267.6959300000017</v>
      </c>
      <c r="F679" s="1">
        <v>10</v>
      </c>
      <c r="G679" s="1">
        <v>7</v>
      </c>
      <c r="H679" s="2" t="s">
        <v>26</v>
      </c>
      <c r="J679" s="2" t="s">
        <v>26</v>
      </c>
      <c r="K679" s="2">
        <v>0</v>
      </c>
      <c r="L679" s="2" t="s">
        <v>26</v>
      </c>
      <c r="M679" s="1">
        <v>2897</v>
      </c>
      <c r="N679" t="s">
        <v>34</v>
      </c>
      <c r="O679" s="5">
        <f>EDATE(O678,1)</f>
        <v>41821</v>
      </c>
      <c r="P679">
        <v>7</v>
      </c>
      <c r="Q679">
        <v>8</v>
      </c>
      <c r="R679" s="2">
        <f>IPMT((0.0315/12),7,10,0,0,1)</f>
        <v>0</v>
      </c>
      <c r="S679">
        <v>51</v>
      </c>
      <c r="T679" s="2">
        <v>0</v>
      </c>
      <c r="U679" t="s">
        <v>29</v>
      </c>
      <c r="V679" t="s">
        <v>29</v>
      </c>
    </row>
    <row r="680" spans="1:25" x14ac:dyDescent="0.25">
      <c r="A680">
        <v>5</v>
      </c>
      <c r="B680" s="1">
        <v>1020</v>
      </c>
      <c r="C680" s="2" t="s">
        <v>37</v>
      </c>
      <c r="D680" s="2">
        <v>9699.3089</v>
      </c>
      <c r="E680" s="2">
        <v>3491.7512200000019</v>
      </c>
      <c r="F680" s="1">
        <v>10</v>
      </c>
      <c r="G680" s="1">
        <v>8</v>
      </c>
      <c r="H680" s="2" t="s">
        <v>26</v>
      </c>
      <c r="J680" s="2" t="s">
        <v>26</v>
      </c>
      <c r="K680" s="2">
        <v>0</v>
      </c>
      <c r="L680" s="2" t="s">
        <v>26</v>
      </c>
      <c r="M680" s="1">
        <v>2897</v>
      </c>
      <c r="N680" t="s">
        <v>34</v>
      </c>
      <c r="O680" s="5">
        <f>EDATE(O679,1)</f>
        <v>41852</v>
      </c>
      <c r="P680">
        <v>8</v>
      </c>
      <c r="Q680">
        <v>9</v>
      </c>
      <c r="R680" s="2">
        <f>IPMT((0.0315/12),8,10,0,0,1)</f>
        <v>0</v>
      </c>
      <c r="S680">
        <v>51</v>
      </c>
      <c r="T680" s="2">
        <v>0</v>
      </c>
      <c r="U680" t="s">
        <v>29</v>
      </c>
      <c r="V680" t="s">
        <v>29</v>
      </c>
    </row>
    <row r="681" spans="1:25" x14ac:dyDescent="0.25">
      <c r="A681">
        <v>5</v>
      </c>
      <c r="B681" s="1">
        <v>1020</v>
      </c>
      <c r="C681" s="2" t="s">
        <v>37</v>
      </c>
      <c r="D681" s="2">
        <v>9699.3089</v>
      </c>
      <c r="E681" s="2">
        <v>2715.8065100000022</v>
      </c>
      <c r="F681" s="1">
        <v>10</v>
      </c>
      <c r="G681" s="1">
        <v>9</v>
      </c>
      <c r="H681" s="2" t="s">
        <v>26</v>
      </c>
      <c r="J681" s="2" t="s">
        <v>26</v>
      </c>
      <c r="K681" s="2">
        <v>0</v>
      </c>
      <c r="L681" s="2" t="s">
        <v>26</v>
      </c>
      <c r="M681" s="1">
        <v>2897</v>
      </c>
      <c r="N681" t="s">
        <v>34</v>
      </c>
      <c r="O681" s="5">
        <f>EDATE(O680,1)</f>
        <v>41883</v>
      </c>
      <c r="P681">
        <v>9</v>
      </c>
      <c r="Q681">
        <v>10</v>
      </c>
      <c r="R681" s="2">
        <f>IPMT((0.0315/12),9,10,0,0,1)</f>
        <v>0</v>
      </c>
      <c r="S681">
        <v>51</v>
      </c>
      <c r="T681" s="2">
        <v>0</v>
      </c>
      <c r="U681" t="s">
        <v>29</v>
      </c>
      <c r="V681" t="s">
        <v>29</v>
      </c>
    </row>
    <row r="682" spans="1:25" x14ac:dyDescent="0.25">
      <c r="A682">
        <v>5</v>
      </c>
      <c r="B682" s="1">
        <v>1020</v>
      </c>
      <c r="C682" s="2" t="s">
        <v>37</v>
      </c>
      <c r="D682" s="2">
        <v>9699.3089</v>
      </c>
      <c r="E682" s="2">
        <v>1939.8618000000022</v>
      </c>
      <c r="F682" s="1">
        <v>10</v>
      </c>
      <c r="G682" s="1">
        <v>10</v>
      </c>
      <c r="H682" s="2" t="s">
        <v>26</v>
      </c>
      <c r="J682" s="2" t="s">
        <v>26</v>
      </c>
      <c r="K682" s="2">
        <v>0</v>
      </c>
      <c r="L682" s="2" t="s">
        <v>26</v>
      </c>
      <c r="M682" s="1">
        <v>2897</v>
      </c>
      <c r="N682" t="s">
        <v>34</v>
      </c>
      <c r="O682" s="5">
        <f>EDATE(O681,1)</f>
        <v>41913</v>
      </c>
      <c r="P682">
        <v>10</v>
      </c>
      <c r="Q682">
        <v>11</v>
      </c>
      <c r="R682" s="2">
        <f>IPMT((0.0315/12),10,10,0,0,1)</f>
        <v>0</v>
      </c>
      <c r="S682">
        <v>51</v>
      </c>
      <c r="T682" s="2">
        <v>0</v>
      </c>
      <c r="U682" t="s">
        <v>29</v>
      </c>
      <c r="V682" t="s">
        <v>29</v>
      </c>
    </row>
    <row r="683" spans="1:25" x14ac:dyDescent="0.25">
      <c r="A683">
        <v>5</v>
      </c>
      <c r="B683" s="1">
        <v>1020</v>
      </c>
      <c r="C683" s="2" t="s">
        <v>37</v>
      </c>
      <c r="D683" s="2">
        <v>9699.3089</v>
      </c>
      <c r="E683" s="2">
        <v>1163.9170900000022</v>
      </c>
      <c r="F683" s="1">
        <v>10</v>
      </c>
      <c r="G683" s="1">
        <v>11</v>
      </c>
      <c r="H683" s="2" t="s">
        <v>26</v>
      </c>
      <c r="J683" s="2" t="s">
        <v>26</v>
      </c>
      <c r="K683" s="2">
        <v>0</v>
      </c>
      <c r="L683" s="2" t="s">
        <v>26</v>
      </c>
      <c r="M683" s="1">
        <v>2897</v>
      </c>
      <c r="N683" t="s">
        <v>34</v>
      </c>
      <c r="O683" s="5">
        <f>EDATE(O682,1)</f>
        <v>41944</v>
      </c>
      <c r="P683">
        <v>11</v>
      </c>
      <c r="Q683">
        <v>999</v>
      </c>
      <c r="R683" s="2">
        <v>0</v>
      </c>
      <c r="S683">
        <v>51</v>
      </c>
      <c r="T683" s="2">
        <v>0</v>
      </c>
      <c r="U683" t="s">
        <v>29</v>
      </c>
      <c r="V683" t="s">
        <v>29</v>
      </c>
      <c r="W683">
        <v>0</v>
      </c>
      <c r="X683">
        <v>0</v>
      </c>
      <c r="Y683">
        <v>0</v>
      </c>
    </row>
    <row r="684" spans="1:25" x14ac:dyDescent="0.25">
      <c r="A684">
        <v>5</v>
      </c>
      <c r="B684" s="1">
        <v>1020</v>
      </c>
      <c r="C684" s="2" t="s">
        <v>37</v>
      </c>
      <c r="D684" s="2">
        <v>9699.3089</v>
      </c>
      <c r="E684" s="2">
        <v>8923.3641900000002</v>
      </c>
      <c r="F684" s="1">
        <v>10</v>
      </c>
      <c r="G684" s="1">
        <v>1</v>
      </c>
      <c r="H684" s="2" t="s">
        <v>26</v>
      </c>
      <c r="J684" s="2" t="s">
        <v>26</v>
      </c>
      <c r="K684" s="2">
        <v>0</v>
      </c>
      <c r="L684" s="2" t="s">
        <v>26</v>
      </c>
      <c r="M684" s="1">
        <v>2895</v>
      </c>
      <c r="N684" t="s">
        <v>35</v>
      </c>
      <c r="O684" s="5">
        <v>41640</v>
      </c>
      <c r="P684">
        <v>1</v>
      </c>
      <c r="Q684">
        <v>2</v>
      </c>
      <c r="R684" s="2">
        <f>PMT((0.0315/12),10,0,0,1)</f>
        <v>0</v>
      </c>
      <c r="S684">
        <v>51</v>
      </c>
      <c r="T684" s="2">
        <v>0</v>
      </c>
      <c r="U684" t="s">
        <v>29</v>
      </c>
      <c r="V684" t="s">
        <v>29</v>
      </c>
    </row>
    <row r="685" spans="1:25" x14ac:dyDescent="0.25">
      <c r="A685">
        <v>5</v>
      </c>
      <c r="B685" s="1">
        <v>1020</v>
      </c>
      <c r="C685" s="2" t="s">
        <v>37</v>
      </c>
      <c r="D685" s="2">
        <v>9699.3089</v>
      </c>
      <c r="E685" s="2">
        <v>8147.4194800000005</v>
      </c>
      <c r="F685" s="1">
        <v>10</v>
      </c>
      <c r="G685" s="1">
        <v>2</v>
      </c>
      <c r="H685" s="2" t="s">
        <v>26</v>
      </c>
      <c r="J685" s="2" t="s">
        <v>26</v>
      </c>
      <c r="K685" s="2">
        <v>0</v>
      </c>
      <c r="L685" s="2" t="s">
        <v>26</v>
      </c>
      <c r="M685" s="1">
        <v>2895</v>
      </c>
      <c r="N685" t="s">
        <v>35</v>
      </c>
      <c r="O685" s="5">
        <f>EDATE(O684,1)</f>
        <v>41671</v>
      </c>
      <c r="P685">
        <v>2</v>
      </c>
      <c r="Q685">
        <v>3</v>
      </c>
      <c r="R685" s="2">
        <f>PMT((0.0315/12),10,0,0,1)</f>
        <v>0</v>
      </c>
      <c r="S685">
        <v>51</v>
      </c>
      <c r="T685" s="2">
        <v>0</v>
      </c>
      <c r="U685" t="s">
        <v>29</v>
      </c>
      <c r="V685" t="s">
        <v>29</v>
      </c>
    </row>
    <row r="686" spans="1:25" x14ac:dyDescent="0.25">
      <c r="A686">
        <v>5</v>
      </c>
      <c r="B686" s="1">
        <v>1020</v>
      </c>
      <c r="C686" s="2" t="s">
        <v>37</v>
      </c>
      <c r="D686" s="2">
        <v>9699.3089</v>
      </c>
      <c r="E686" s="2">
        <v>7371.4747700000007</v>
      </c>
      <c r="F686" s="1">
        <v>10</v>
      </c>
      <c r="G686" s="1">
        <v>3</v>
      </c>
      <c r="H686" s="2" t="s">
        <v>26</v>
      </c>
      <c r="J686" s="2" t="s">
        <v>26</v>
      </c>
      <c r="K686" s="2">
        <v>0</v>
      </c>
      <c r="L686" s="2" t="s">
        <v>26</v>
      </c>
      <c r="M686" s="1">
        <v>2895</v>
      </c>
      <c r="N686" t="s">
        <v>35</v>
      </c>
      <c r="O686" s="5">
        <f>EDATE(O685,1)</f>
        <v>41699</v>
      </c>
      <c r="P686">
        <v>3</v>
      </c>
      <c r="Q686">
        <v>4</v>
      </c>
      <c r="R686" s="2">
        <f>PMT((0.0315/12),10,0,0,1)</f>
        <v>0</v>
      </c>
      <c r="S686">
        <v>51</v>
      </c>
      <c r="T686" s="2">
        <v>0</v>
      </c>
      <c r="U686" t="s">
        <v>29</v>
      </c>
      <c r="V686" t="s">
        <v>29</v>
      </c>
    </row>
    <row r="687" spans="1:25" x14ac:dyDescent="0.25">
      <c r="A687">
        <v>5</v>
      </c>
      <c r="B687" s="1">
        <v>1020</v>
      </c>
      <c r="C687" s="2" t="s">
        <v>37</v>
      </c>
      <c r="D687" s="2">
        <v>9699.3089</v>
      </c>
      <c r="E687" s="2">
        <v>6595.530060000001</v>
      </c>
      <c r="F687" s="1">
        <v>10</v>
      </c>
      <c r="G687" s="1">
        <v>4</v>
      </c>
      <c r="H687" s="2" t="s">
        <v>26</v>
      </c>
      <c r="J687" s="2" t="s">
        <v>26</v>
      </c>
      <c r="K687" s="2">
        <v>0</v>
      </c>
      <c r="L687" s="2" t="s">
        <v>26</v>
      </c>
      <c r="M687" s="1">
        <v>2895</v>
      </c>
      <c r="N687" t="s">
        <v>35</v>
      </c>
      <c r="O687" s="5">
        <f>EDATE(O686,1)</f>
        <v>41730</v>
      </c>
      <c r="P687">
        <v>4</v>
      </c>
      <c r="Q687">
        <v>5</v>
      </c>
      <c r="R687" s="2">
        <f>PMT((0.0315/12),10,0,0,1)</f>
        <v>0</v>
      </c>
      <c r="S687">
        <v>51</v>
      </c>
      <c r="T687" s="2">
        <v>0</v>
      </c>
      <c r="U687" t="s">
        <v>29</v>
      </c>
      <c r="V687" t="s">
        <v>29</v>
      </c>
    </row>
    <row r="688" spans="1:25" x14ac:dyDescent="0.25">
      <c r="A688">
        <v>5</v>
      </c>
      <c r="B688" s="1">
        <v>1020</v>
      </c>
      <c r="C688" s="2" t="s">
        <v>37</v>
      </c>
      <c r="D688" s="2">
        <v>9699.3089</v>
      </c>
      <c r="E688" s="2">
        <v>5819.5853500000012</v>
      </c>
      <c r="F688" s="1">
        <v>10</v>
      </c>
      <c r="G688" s="1">
        <v>5</v>
      </c>
      <c r="H688" s="2" t="s">
        <v>26</v>
      </c>
      <c r="J688" s="2" t="s">
        <v>26</v>
      </c>
      <c r="K688" s="2">
        <v>0</v>
      </c>
      <c r="L688" s="2" t="s">
        <v>26</v>
      </c>
      <c r="M688" s="1">
        <v>2895</v>
      </c>
      <c r="N688" t="s">
        <v>35</v>
      </c>
      <c r="O688" s="5">
        <f>EDATE(O687,1)</f>
        <v>41760</v>
      </c>
      <c r="P688">
        <v>5</v>
      </c>
      <c r="Q688">
        <v>6</v>
      </c>
      <c r="R688" s="2">
        <f>PMT((0.0315/12),10,0,0,1)</f>
        <v>0</v>
      </c>
      <c r="S688">
        <v>51</v>
      </c>
      <c r="T688" s="2">
        <v>0</v>
      </c>
      <c r="U688" t="s">
        <v>29</v>
      </c>
      <c r="V688" t="s">
        <v>29</v>
      </c>
    </row>
    <row r="689" spans="1:25" x14ac:dyDescent="0.25">
      <c r="A689">
        <v>5</v>
      </c>
      <c r="B689" s="1">
        <v>1020</v>
      </c>
      <c r="C689" s="2" t="s">
        <v>37</v>
      </c>
      <c r="D689" s="2">
        <v>9699.3089</v>
      </c>
      <c r="E689" s="2">
        <v>5043.6406400000014</v>
      </c>
      <c r="F689" s="1">
        <v>10</v>
      </c>
      <c r="G689" s="1">
        <v>6</v>
      </c>
      <c r="H689" s="2" t="s">
        <v>26</v>
      </c>
      <c r="J689" s="2" t="s">
        <v>26</v>
      </c>
      <c r="K689" s="2">
        <v>0</v>
      </c>
      <c r="L689" s="2" t="s">
        <v>26</v>
      </c>
      <c r="M689" s="1">
        <v>2895</v>
      </c>
      <c r="N689" t="s">
        <v>35</v>
      </c>
      <c r="O689" s="5">
        <f>EDATE(O688,1)</f>
        <v>41791</v>
      </c>
      <c r="P689">
        <v>6</v>
      </c>
      <c r="Q689">
        <v>7</v>
      </c>
      <c r="R689" s="2">
        <f>PMT((0.0315/12),10,0,0,1)</f>
        <v>0</v>
      </c>
      <c r="S689">
        <v>51</v>
      </c>
      <c r="T689" s="2">
        <v>0</v>
      </c>
      <c r="U689" t="s">
        <v>29</v>
      </c>
      <c r="V689" t="s">
        <v>29</v>
      </c>
    </row>
    <row r="690" spans="1:25" x14ac:dyDescent="0.25">
      <c r="A690">
        <v>5</v>
      </c>
      <c r="B690" s="1">
        <v>1020</v>
      </c>
      <c r="C690" s="2" t="s">
        <v>37</v>
      </c>
      <c r="D690" s="2">
        <v>9699.3089</v>
      </c>
      <c r="E690" s="2">
        <v>4267.6959300000017</v>
      </c>
      <c r="F690" s="1">
        <v>10</v>
      </c>
      <c r="G690" s="1">
        <v>7</v>
      </c>
      <c r="H690" s="2" t="s">
        <v>26</v>
      </c>
      <c r="J690" s="2" t="s">
        <v>26</v>
      </c>
      <c r="K690" s="2">
        <v>0</v>
      </c>
      <c r="L690" s="2" t="s">
        <v>26</v>
      </c>
      <c r="M690" s="1">
        <v>2895</v>
      </c>
      <c r="N690" t="s">
        <v>35</v>
      </c>
      <c r="O690" s="5">
        <f>EDATE(O689,1)</f>
        <v>41821</v>
      </c>
      <c r="P690">
        <v>7</v>
      </c>
      <c r="Q690">
        <v>8</v>
      </c>
      <c r="R690" s="2">
        <f>PMT((0.0315/12),10,0,0,1)</f>
        <v>0</v>
      </c>
      <c r="S690">
        <v>51</v>
      </c>
      <c r="T690" s="2">
        <v>0</v>
      </c>
      <c r="U690" t="s">
        <v>29</v>
      </c>
      <c r="V690" t="s">
        <v>29</v>
      </c>
    </row>
    <row r="691" spans="1:25" x14ac:dyDescent="0.25">
      <c r="A691">
        <v>5</v>
      </c>
      <c r="B691" s="1">
        <v>1020</v>
      </c>
      <c r="C691" s="2" t="s">
        <v>37</v>
      </c>
      <c r="D691" s="2">
        <v>9699.3089</v>
      </c>
      <c r="E691" s="2">
        <v>3491.7512200000019</v>
      </c>
      <c r="F691" s="1">
        <v>10</v>
      </c>
      <c r="G691" s="1">
        <v>8</v>
      </c>
      <c r="H691" s="2" t="s">
        <v>26</v>
      </c>
      <c r="J691" s="2" t="s">
        <v>26</v>
      </c>
      <c r="K691" s="2">
        <v>0</v>
      </c>
      <c r="L691" s="2" t="s">
        <v>26</v>
      </c>
      <c r="M691" s="1">
        <v>2895</v>
      </c>
      <c r="N691" t="s">
        <v>35</v>
      </c>
      <c r="O691" s="5">
        <f>EDATE(O690,1)</f>
        <v>41852</v>
      </c>
      <c r="P691">
        <v>8</v>
      </c>
      <c r="Q691">
        <v>9</v>
      </c>
      <c r="R691" s="2">
        <f>PMT((0.0315/12),10,0,0,1)</f>
        <v>0</v>
      </c>
      <c r="S691">
        <v>51</v>
      </c>
      <c r="T691" s="2">
        <v>0</v>
      </c>
      <c r="U691" t="s">
        <v>29</v>
      </c>
      <c r="V691" t="s">
        <v>29</v>
      </c>
    </row>
    <row r="692" spans="1:25" x14ac:dyDescent="0.25">
      <c r="A692">
        <v>5</v>
      </c>
      <c r="B692" s="1">
        <v>1020</v>
      </c>
      <c r="C692" s="2" t="s">
        <v>37</v>
      </c>
      <c r="D692" s="2">
        <v>9699.3089</v>
      </c>
      <c r="E692" s="2">
        <v>2715.8065100000022</v>
      </c>
      <c r="F692" s="1">
        <v>10</v>
      </c>
      <c r="G692" s="1">
        <v>9</v>
      </c>
      <c r="H692" s="2" t="s">
        <v>26</v>
      </c>
      <c r="J692" s="2" t="s">
        <v>26</v>
      </c>
      <c r="K692" s="2">
        <v>0</v>
      </c>
      <c r="L692" s="2" t="s">
        <v>26</v>
      </c>
      <c r="M692" s="1">
        <v>2895</v>
      </c>
      <c r="N692" t="s">
        <v>35</v>
      </c>
      <c r="O692" s="5">
        <f>EDATE(O691,1)</f>
        <v>41883</v>
      </c>
      <c r="P692">
        <v>9</v>
      </c>
      <c r="Q692">
        <v>10</v>
      </c>
      <c r="R692" s="2">
        <f>PMT((0.0315/12),10,0,0,1)</f>
        <v>0</v>
      </c>
      <c r="S692">
        <v>51</v>
      </c>
      <c r="T692" s="2">
        <v>0</v>
      </c>
      <c r="U692" t="s">
        <v>29</v>
      </c>
      <c r="V692" t="s">
        <v>29</v>
      </c>
    </row>
    <row r="693" spans="1:25" x14ac:dyDescent="0.25">
      <c r="A693">
        <v>5</v>
      </c>
      <c r="B693" s="1">
        <v>1020</v>
      </c>
      <c r="C693" s="2" t="s">
        <v>37</v>
      </c>
      <c r="D693" s="2">
        <v>9699.3089</v>
      </c>
      <c r="E693" s="2">
        <v>1939.8618000000022</v>
      </c>
      <c r="F693" s="1">
        <v>10</v>
      </c>
      <c r="G693" s="1">
        <v>10</v>
      </c>
      <c r="H693" s="2" t="s">
        <v>26</v>
      </c>
      <c r="J693" s="2" t="s">
        <v>26</v>
      </c>
      <c r="K693" s="2">
        <v>0</v>
      </c>
      <c r="L693" s="2" t="s">
        <v>26</v>
      </c>
      <c r="M693" s="1">
        <v>2895</v>
      </c>
      <c r="N693" t="s">
        <v>35</v>
      </c>
      <c r="O693" s="5">
        <f>EDATE(O692,1)</f>
        <v>41913</v>
      </c>
      <c r="P693">
        <v>10</v>
      </c>
      <c r="Q693">
        <v>11</v>
      </c>
      <c r="R693" s="2">
        <f>PMT((0.0315/12),10,0,0,1)</f>
        <v>0</v>
      </c>
      <c r="S693">
        <v>51</v>
      </c>
      <c r="T693" s="2">
        <v>0</v>
      </c>
      <c r="U693" t="s">
        <v>29</v>
      </c>
      <c r="V693" t="s">
        <v>29</v>
      </c>
    </row>
    <row r="694" spans="1:25" x14ac:dyDescent="0.25">
      <c r="A694">
        <v>5</v>
      </c>
      <c r="B694" s="1">
        <v>1020</v>
      </c>
      <c r="C694" s="2" t="s">
        <v>37</v>
      </c>
      <c r="D694" s="2">
        <v>9699.3089</v>
      </c>
      <c r="E694" s="2">
        <v>1163.9170900000022</v>
      </c>
      <c r="F694" s="1">
        <v>10</v>
      </c>
      <c r="G694" s="1">
        <v>11</v>
      </c>
      <c r="H694" s="2" t="s">
        <v>26</v>
      </c>
      <c r="J694" s="2" t="s">
        <v>26</v>
      </c>
      <c r="K694" s="2">
        <v>0</v>
      </c>
      <c r="L694" s="2" t="s">
        <v>26</v>
      </c>
      <c r="M694" s="1">
        <v>2895</v>
      </c>
      <c r="N694" t="s">
        <v>35</v>
      </c>
      <c r="O694" s="5">
        <f>EDATE(O693,1)</f>
        <v>41944</v>
      </c>
      <c r="P694">
        <v>11</v>
      </c>
      <c r="Q694">
        <v>999</v>
      </c>
      <c r="R694" s="2">
        <v>0</v>
      </c>
      <c r="S694">
        <v>51</v>
      </c>
      <c r="T694" s="2">
        <v>0</v>
      </c>
      <c r="U694" t="s">
        <v>29</v>
      </c>
      <c r="V694" t="s">
        <v>29</v>
      </c>
      <c r="W694">
        <v>0</v>
      </c>
      <c r="X694">
        <v>0</v>
      </c>
      <c r="Y6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Daniel</dc:creator>
  <cp:lastModifiedBy>Gonzalez, Daniel</cp:lastModifiedBy>
  <dcterms:created xsi:type="dcterms:W3CDTF">2017-03-01T17:46:50Z</dcterms:created>
  <dcterms:modified xsi:type="dcterms:W3CDTF">2017-03-01T17:46:51Z</dcterms:modified>
</cp:coreProperties>
</file>