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245" tabRatio="849"/>
  </bookViews>
  <sheets>
    <sheet name="汇总" sheetId="12" r:id="rId1"/>
    <sheet name="业务部工资表" sheetId="19" r:id="rId2"/>
    <sheet name="人事工资表" sheetId="17" r:id="rId3"/>
    <sheet name="组长绩效新" sheetId="13" r:id="rId4"/>
    <sheet name="组长绩效" sheetId="5" state="hidden" r:id="rId5"/>
    <sheet name="员工绩效" sheetId="9" r:id="rId6"/>
    <sheet name="大小月" sheetId="18" r:id="rId7"/>
    <sheet name="短信充值" sheetId="8" r:id="rId8"/>
    <sheet name="日常支出" sheetId="7" r:id="rId9"/>
    <sheet name="短信服务" sheetId="4" r:id="rId10"/>
    <sheet name="5月考勤" sheetId="16" r:id="rId11"/>
    <sheet name="社保医保" sheetId="11" r:id="rId12"/>
    <sheet name="内推" sheetId="3" r:id="rId13"/>
  </sheets>
  <externalReferences>
    <externalReference r:id="rId14"/>
    <externalReference r:id="rId15"/>
  </externalReferences>
  <definedNames>
    <definedName name="_xlnm._FilterDatabase" localSheetId="8" hidden="1">日常支出!$A$2:$E$45</definedName>
    <definedName name="_xlnm._FilterDatabase" localSheetId="7" hidden="1">短信充值!#REF!</definedName>
    <definedName name="_xlnm._FilterDatabase" localSheetId="3" hidden="1">组长绩效新!#REF!</definedName>
    <definedName name="_xlnm._FilterDatabase" localSheetId="11" hidden="1">社保医保!#REF!</definedName>
    <definedName name="_xlnm._FilterDatabase" localSheetId="5" hidden="1">员工绩效!#REF!</definedName>
    <definedName name="_xlnm._FilterDatabase" localSheetId="9" hidden="1">短信服务!#REF!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31B794E2EAA64F64A102616D198644B1" descr="58、桔多多-激励"/>
        <xdr:cNvPicPr/>
      </xdr:nvPicPr>
      <xdr:blipFill>
        <a:blip r:embed="rId1"/>
        <a:stretch>
          <a:fillRect/>
        </a:stretch>
      </xdr:blipFill>
      <xdr:spPr>
        <a:xfrm>
          <a:off x="0" y="0"/>
          <a:ext cx="5305425" cy="5305425"/>
        </a:xfrm>
        <a:prstGeom prst="rect">
          <a:avLst/>
        </a:prstGeom>
      </xdr:spPr>
    </xdr:pic>
  </etc:cellImage>
  <etc:cellImage>
    <xdr:pic>
      <xdr:nvPicPr>
        <xdr:cNvPr id="4" name="ID_8472A68960B34D97AF83D1E793821752" descr="58-绩效"/>
        <xdr:cNvPicPr/>
      </xdr:nvPicPr>
      <xdr:blipFill>
        <a:blip r:embed="rId2"/>
        <a:stretch>
          <a:fillRect/>
        </a:stretch>
      </xdr:blipFill>
      <xdr:spPr>
        <a:xfrm>
          <a:off x="0" y="0"/>
          <a:ext cx="4514850" cy="5314950"/>
        </a:xfrm>
        <a:prstGeom prst="rect">
          <a:avLst/>
        </a:prstGeom>
      </xdr:spPr>
    </xdr:pic>
  </etc:cellImage>
  <etc:cellImage>
    <xdr:pic>
      <xdr:nvPicPr>
        <xdr:cNvPr id="5" name="ID_DC8087F8F9734C3C84CBAEEA8CBE0045" descr="VIVO-激励"/>
        <xdr:cNvPicPr/>
      </xdr:nvPicPr>
      <xdr:blipFill>
        <a:blip r:embed="rId3"/>
        <a:stretch>
          <a:fillRect/>
        </a:stretch>
      </xdr:blipFill>
      <xdr:spPr>
        <a:xfrm>
          <a:off x="0" y="0"/>
          <a:ext cx="3752850" cy="4943475"/>
        </a:xfrm>
        <a:prstGeom prst="rect">
          <a:avLst/>
        </a:prstGeom>
      </xdr:spPr>
    </xdr:pic>
  </etc:cellImage>
  <etc:cellImage>
    <xdr:pic>
      <xdr:nvPicPr>
        <xdr:cNvPr id="6" name="ID_A59FD0C798174CABB8E34620A393459B" descr="召集令-激励"/>
        <xdr:cNvPicPr/>
      </xdr:nvPicPr>
      <xdr:blipFill>
        <a:blip r:embed="rId4"/>
        <a:stretch>
          <a:fillRect/>
        </a:stretch>
      </xdr:blipFill>
      <xdr:spPr>
        <a:xfrm>
          <a:off x="0" y="0"/>
          <a:ext cx="4533900" cy="530542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Administrator</author>
  </authors>
  <commentList>
    <comment ref="T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请假扣除绩效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R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请假扣除绩效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房租11000、物业1680、保洁500、网费300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AN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2小时</t>
        </r>
      </text>
    </comment>
    <comment ref="AO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V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</t>
        </r>
      </text>
    </comment>
    <comment ref="AL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AJ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</t>
        </r>
      </text>
    </comment>
    <comment ref="T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AA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AK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Z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</t>
        </r>
      </text>
    </comment>
    <comment ref="AC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</t>
        </r>
      </text>
    </comment>
    <comment ref="AN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</t>
        </r>
      </text>
    </comment>
    <comment ref="T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AG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AD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AK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X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</t>
        </r>
      </text>
    </comment>
    <comment ref="AD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</t>
        </r>
      </text>
    </comment>
    <comment ref="AN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S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AB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  <comment ref="AL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补卡
</t>
        </r>
      </text>
    </comment>
  </commentList>
</comments>
</file>

<file path=xl/sharedStrings.xml><?xml version="1.0" encoding="utf-8"?>
<sst xmlns="http://schemas.openxmlformats.org/spreadsheetml/2006/main" count="1411" uniqueCount="255">
  <si>
    <t>隆稷普惠2024年5月开支表-南门职场</t>
  </si>
  <si>
    <t>隆稷普惠2024年5月开支表-总经办</t>
  </si>
  <si>
    <t>项目</t>
  </si>
  <si>
    <t>金额</t>
  </si>
  <si>
    <t>备注</t>
  </si>
  <si>
    <t>一线底薪（含管理）</t>
  </si>
  <si>
    <t>5月快递费</t>
  </si>
  <si>
    <t>员工绩效</t>
  </si>
  <si>
    <t>职场搭建</t>
  </si>
  <si>
    <t>组长绩效（含主管）</t>
  </si>
  <si>
    <t>人事底薪</t>
  </si>
  <si>
    <t>一线激励</t>
  </si>
  <si>
    <t>人事绩效</t>
  </si>
  <si>
    <t>职场基本开支</t>
  </si>
  <si>
    <t>商务开支</t>
  </si>
  <si>
    <t>员工补贴(短信）</t>
  </si>
  <si>
    <t>退南门短信</t>
  </si>
  <si>
    <t>行政开支</t>
  </si>
  <si>
    <t>合计：</t>
  </si>
  <si>
    <t>项目运维开支</t>
  </si>
  <si>
    <t>内部推荐费用</t>
  </si>
  <si>
    <t>社保（单位）</t>
  </si>
  <si>
    <t>成都南门职场—业务部薪资</t>
  </si>
  <si>
    <t>区部</t>
  </si>
  <si>
    <t>分组</t>
  </si>
  <si>
    <t>姓名</t>
  </si>
  <si>
    <r>
      <rPr>
        <b/>
        <sz val="10"/>
        <rFont val="微软雅黑"/>
        <charset val="134"/>
      </rPr>
      <t>应发</t>
    </r>
  </si>
  <si>
    <r>
      <rPr>
        <b/>
        <sz val="10"/>
        <rFont val="微软雅黑"/>
        <charset val="134"/>
      </rPr>
      <t>报税金额</t>
    </r>
  </si>
  <si>
    <r>
      <rPr>
        <b/>
        <sz val="10"/>
        <rFont val="微软雅黑"/>
        <charset val="134"/>
      </rPr>
      <t>基本工资</t>
    </r>
  </si>
  <si>
    <t>应发底薪</t>
  </si>
  <si>
    <r>
      <rPr>
        <b/>
        <sz val="10"/>
        <rFont val="微软雅黑"/>
        <charset val="134"/>
      </rPr>
      <t>请假</t>
    </r>
  </si>
  <si>
    <r>
      <rPr>
        <b/>
        <sz val="10"/>
        <rFont val="微软雅黑"/>
        <charset val="134"/>
      </rPr>
      <t>绩效</t>
    </r>
  </si>
  <si>
    <t>应发绩效</t>
  </si>
  <si>
    <t>补贴</t>
  </si>
  <si>
    <r>
      <rPr>
        <b/>
        <sz val="10"/>
        <rFont val="微软雅黑"/>
        <charset val="134"/>
      </rPr>
      <t>内推</t>
    </r>
  </si>
  <si>
    <t>补贴合计</t>
  </si>
  <si>
    <r>
      <rPr>
        <b/>
        <sz val="10"/>
        <rFont val="微软雅黑"/>
        <charset val="134"/>
      </rPr>
      <t>其他</t>
    </r>
  </si>
  <si>
    <t>扣减项</t>
  </si>
  <si>
    <r>
      <rPr>
        <b/>
        <sz val="10"/>
        <rFont val="微软雅黑"/>
        <charset val="134"/>
      </rPr>
      <t>五险</t>
    </r>
  </si>
  <si>
    <t>应缴社保</t>
  </si>
  <si>
    <r>
      <rPr>
        <b/>
        <sz val="10"/>
        <rFont val="微软雅黑"/>
        <charset val="134"/>
      </rPr>
      <t>个税</t>
    </r>
  </si>
  <si>
    <t>实发</t>
  </si>
  <si>
    <t>底薪</t>
  </si>
  <si>
    <r>
      <rPr>
        <b/>
        <sz val="10"/>
        <rFont val="微软雅黑"/>
        <charset val="134"/>
      </rPr>
      <t>岗位补贴</t>
    </r>
  </si>
  <si>
    <r>
      <rPr>
        <b/>
        <sz val="10"/>
        <rFont val="微软雅黑"/>
        <charset val="134"/>
      </rPr>
      <t>出勤天数</t>
    </r>
  </si>
  <si>
    <r>
      <rPr>
        <b/>
        <sz val="10"/>
        <rFont val="微软雅黑"/>
        <charset val="134"/>
      </rPr>
      <t>迟到扣款</t>
    </r>
  </si>
  <si>
    <r>
      <rPr>
        <b/>
        <sz val="10"/>
        <rFont val="微软雅黑"/>
        <charset val="134"/>
      </rPr>
      <t>全勤</t>
    </r>
  </si>
  <si>
    <t>病假</t>
  </si>
  <si>
    <t>事假</t>
  </si>
  <si>
    <r>
      <rPr>
        <b/>
        <sz val="10"/>
        <rFont val="宋体"/>
        <charset val="134"/>
      </rPr>
      <t>婚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丧假</t>
    </r>
  </si>
  <si>
    <r>
      <rPr>
        <b/>
        <sz val="10"/>
        <rFont val="微软雅黑"/>
        <charset val="134"/>
      </rPr>
      <t>业绩</t>
    </r>
  </si>
  <si>
    <r>
      <rPr>
        <b/>
        <sz val="10"/>
        <rFont val="微软雅黑"/>
        <charset val="134"/>
      </rPr>
      <t>提点</t>
    </r>
  </si>
  <si>
    <t>激励</t>
  </si>
  <si>
    <t>绩效</t>
  </si>
  <si>
    <t>组长绩效</t>
  </si>
  <si>
    <t>绩效（扣）</t>
  </si>
  <si>
    <t>新人</t>
  </si>
  <si>
    <t>奖励</t>
  </si>
  <si>
    <t>质检</t>
  </si>
  <si>
    <r>
      <rPr>
        <b/>
        <sz val="10"/>
        <rFont val="微软雅黑"/>
        <charset val="134"/>
      </rPr>
      <t>短信</t>
    </r>
  </si>
  <si>
    <r>
      <rPr>
        <b/>
        <sz val="10"/>
        <rFont val="微软雅黑"/>
        <charset val="134"/>
      </rPr>
      <t>社保</t>
    </r>
  </si>
  <si>
    <r>
      <rPr>
        <b/>
        <sz val="10"/>
        <rFont val="微软雅黑"/>
        <charset val="134"/>
      </rPr>
      <t>医保</t>
    </r>
  </si>
  <si>
    <r>
      <rPr>
        <b/>
        <sz val="10"/>
        <rFont val="微软雅黑"/>
        <charset val="134"/>
      </rPr>
      <t>失业</t>
    </r>
  </si>
  <si>
    <t>区部负责人</t>
  </si>
  <si>
    <t>吴越</t>
  </si>
  <si>
    <t>项目主管</t>
  </si>
  <si>
    <t>刘兴中</t>
  </si>
  <si>
    <t>组长</t>
  </si>
  <si>
    <t>熊银华</t>
  </si>
  <si>
    <t>业务员</t>
  </si>
  <si>
    <t>蒋易</t>
  </si>
  <si>
    <t>杨治华</t>
  </si>
  <si>
    <t>王太</t>
  </si>
  <si>
    <t>黎丽</t>
  </si>
  <si>
    <t>李瑶</t>
  </si>
  <si>
    <t>徐婷</t>
  </si>
  <si>
    <t>付首诚</t>
  </si>
  <si>
    <t>桔多多</t>
  </si>
  <si>
    <t>谯智霖</t>
  </si>
  <si>
    <t>召集令</t>
  </si>
  <si>
    <t>苏淼</t>
  </si>
  <si>
    <t>吴世俊</t>
  </si>
  <si>
    <t>何肖</t>
  </si>
  <si>
    <t>杨健中</t>
  </si>
  <si>
    <t>VIVO(m2-12)</t>
  </si>
  <si>
    <t>华凤</t>
  </si>
  <si>
    <t>陈亮</t>
  </si>
  <si>
    <t>杨檬紫一</t>
  </si>
  <si>
    <t>白宏宇</t>
  </si>
  <si>
    <t>人事部</t>
  </si>
  <si>
    <t>人事专员</t>
  </si>
  <si>
    <t>牟蓉琴</t>
  </si>
  <si>
    <t>吴越、熊银华</t>
  </si>
  <si>
    <t>业绩</t>
  </si>
  <si>
    <t>业绩总和</t>
  </si>
  <si>
    <t>系数</t>
  </si>
  <si>
    <r>
      <rPr>
        <b/>
        <sz val="10"/>
        <color rgb="FF000000"/>
        <rFont val="Arial"/>
        <charset val="134"/>
      </rPr>
      <t>58</t>
    </r>
    <r>
      <rPr>
        <b/>
        <sz val="10"/>
        <color rgb="FF000000"/>
        <rFont val="宋体"/>
        <charset val="134"/>
      </rPr>
      <t>组</t>
    </r>
  </si>
  <si>
    <t>盛毅</t>
  </si>
  <si>
    <t>业绩平均值</t>
  </si>
  <si>
    <t>达成系数</t>
  </si>
  <si>
    <t>VIVO</t>
  </si>
  <si>
    <t>隆稷普惠杨涛组长绩效测算表</t>
  </si>
  <si>
    <t>隆稷普惠王俊凯组长绩效测算表</t>
  </si>
  <si>
    <t>提成金额</t>
  </si>
  <si>
    <t>绩效系数</t>
  </si>
  <si>
    <t>当月实际提成金额</t>
  </si>
  <si>
    <t>业务一组</t>
  </si>
  <si>
    <t>提成系数</t>
  </si>
  <si>
    <t>合计</t>
  </si>
  <si>
    <t>0-15000</t>
  </si>
  <si>
    <t>业务二组</t>
  </si>
  <si>
    <t>15001-25000</t>
  </si>
  <si>
    <t>25001+</t>
  </si>
  <si>
    <t>公司成本支出</t>
  </si>
  <si>
    <t>短信费用</t>
  </si>
  <si>
    <t>AI费用</t>
  </si>
  <si>
    <t>员工短信补贴费用</t>
  </si>
  <si>
    <t>员工成本支出</t>
  </si>
  <si>
    <t>组长底薪（含社保）</t>
  </si>
  <si>
    <t>员工底薪（含社保）</t>
  </si>
  <si>
    <t>开支金额</t>
  </si>
  <si>
    <t>当月绩效</t>
  </si>
  <si>
    <t>隆稷普惠王珂程组长绩效测算表</t>
  </si>
  <si>
    <t>隆稷普惠张蓉组长绩效测算表</t>
  </si>
  <si>
    <t>业务三组</t>
  </si>
  <si>
    <t>业务四组</t>
  </si>
  <si>
    <r>
      <rPr>
        <b/>
        <sz val="10"/>
        <color indexed="8"/>
        <rFont val="微软雅黑"/>
        <charset val="134"/>
      </rPr>
      <t>业务三组</t>
    </r>
  </si>
  <si>
    <t>袁观玲</t>
  </si>
  <si>
    <t>周银萍</t>
  </si>
  <si>
    <r>
      <rPr>
        <b/>
        <sz val="10"/>
        <color theme="1"/>
        <rFont val="微软雅黑"/>
        <charset val="134"/>
      </rPr>
      <t>业务一组</t>
    </r>
  </si>
  <si>
    <t>王莎莎</t>
  </si>
  <si>
    <t>颜晓华</t>
  </si>
  <si>
    <r>
      <rPr>
        <b/>
        <sz val="10"/>
        <color theme="1"/>
        <rFont val="微软雅黑"/>
        <charset val="134"/>
      </rPr>
      <t>业务二组</t>
    </r>
  </si>
  <si>
    <t>王继军</t>
  </si>
  <si>
    <t>郭兵</t>
  </si>
  <si>
    <t>邱磊</t>
  </si>
  <si>
    <t>唐军</t>
  </si>
  <si>
    <t>潘俊杰</t>
  </si>
  <si>
    <r>
      <rPr>
        <b/>
        <sz val="10"/>
        <color theme="1"/>
        <rFont val="微软雅黑"/>
        <charset val="134"/>
      </rPr>
      <t>业务四组</t>
    </r>
  </si>
  <si>
    <t>刘阳</t>
  </si>
  <si>
    <t>陈云</t>
  </si>
  <si>
    <t>胡飞</t>
  </si>
  <si>
    <t>桔子项目</t>
  </si>
  <si>
    <t>vivo12+</t>
  </si>
  <si>
    <t>vivo（2-12）</t>
  </si>
  <si>
    <t>项目绩效方案</t>
  </si>
  <si>
    <t>36+</t>
  </si>
  <si>
    <t>绩效点</t>
  </si>
  <si>
    <t>36-</t>
  </si>
  <si>
    <t>总业绩</t>
  </si>
  <si>
    <t>职场管理</t>
  </si>
  <si>
    <t>回收</t>
  </si>
  <si>
    <t>提点</t>
  </si>
  <si>
    <t>实发绩效</t>
  </si>
  <si>
    <t>提成</t>
  </si>
  <si>
    <t>M2</t>
  </si>
  <si>
    <t>/</t>
  </si>
  <si>
    <t>M4</t>
  </si>
  <si>
    <t>M6</t>
  </si>
  <si>
    <t>M7-12</t>
  </si>
  <si>
    <t>M3</t>
  </si>
  <si>
    <t>M5</t>
  </si>
  <si>
    <t>实际使用人</t>
  </si>
  <si>
    <t>实际费用</t>
  </si>
  <si>
    <t>职场开支</t>
  </si>
  <si>
    <t>总经办开支</t>
  </si>
  <si>
    <t>日期</t>
  </si>
  <si>
    <t>大项</t>
  </si>
  <si>
    <t>水费</t>
  </si>
  <si>
    <t>快递费-电脑配件</t>
  </si>
  <si>
    <t>刘兴中-M2vivo</t>
  </si>
  <si>
    <t>快递费-劳动合同</t>
  </si>
  <si>
    <t>苏淼-召集令</t>
  </si>
  <si>
    <t>快递费-北门手机袋</t>
  </si>
  <si>
    <t>熊银华-58</t>
  </si>
  <si>
    <t>南门UPS</t>
  </si>
  <si>
    <t>李老板</t>
  </si>
  <si>
    <t>吴越-橘子</t>
  </si>
  <si>
    <t>装隔断门</t>
  </si>
  <si>
    <t>热熔胶枪</t>
  </si>
  <si>
    <t>唐连莲</t>
  </si>
  <si>
    <t>果盘</t>
  </si>
  <si>
    <t>湿度温度计</t>
  </si>
  <si>
    <t>手机袋</t>
  </si>
  <si>
    <t>透明文件袋10个</t>
  </si>
  <si>
    <t>文件夹5个</t>
  </si>
  <si>
    <t>水果</t>
  </si>
  <si>
    <t>桶装水费</t>
  </si>
  <si>
    <t>电费</t>
  </si>
  <si>
    <t>22024/5/17</t>
  </si>
  <si>
    <t>饮料</t>
  </si>
  <si>
    <t>22024/5/20</t>
  </si>
  <si>
    <t>生日会-礼物</t>
  </si>
  <si>
    <t>生日会-蛋糕</t>
  </si>
  <si>
    <t>桔子短信补贴</t>
  </si>
  <si>
    <r>
      <rPr>
        <sz val="11"/>
        <color theme="1"/>
        <rFont val="宋体"/>
        <charset val="134"/>
        <scheme val="minor"/>
      </rPr>
      <t>诉调账户</t>
    </r>
  </si>
  <si>
    <t>光发费用</t>
  </si>
  <si>
    <t>房租</t>
  </si>
  <si>
    <t>申请费用</t>
  </si>
  <si>
    <t>人数</t>
  </si>
  <si>
    <t>申请人</t>
  </si>
  <si>
    <t>组管是否确认</t>
  </si>
  <si>
    <t>发放方式</t>
  </si>
  <si>
    <t>实发时间</t>
  </si>
  <si>
    <t>回收发票金额</t>
  </si>
  <si>
    <t>回收日期</t>
  </si>
  <si>
    <t>5月考勤</t>
  </si>
  <si>
    <t>统计</t>
  </si>
  <si>
    <t>每日数据</t>
  </si>
  <si>
    <t>序号</t>
  </si>
  <si>
    <t>部门</t>
  </si>
  <si>
    <t>应出勤天数</t>
  </si>
  <si>
    <t>实际出勤天数</t>
  </si>
  <si>
    <t>出勤率</t>
  </si>
  <si>
    <t>全勤</t>
  </si>
  <si>
    <t>缺卡（次）</t>
  </si>
  <si>
    <t>缺卡扣款</t>
  </si>
  <si>
    <t>迟到（次）</t>
  </si>
  <si>
    <t>迟到扣款</t>
  </si>
  <si>
    <t>病假（天）</t>
  </si>
  <si>
    <t>事假（天）</t>
  </si>
  <si>
    <t>三</t>
  </si>
  <si>
    <t>四</t>
  </si>
  <si>
    <t>五</t>
  </si>
  <si>
    <t>六</t>
  </si>
  <si>
    <t>日</t>
  </si>
  <si>
    <t>一</t>
  </si>
  <si>
    <t>二</t>
  </si>
  <si>
    <t>项目经理</t>
  </si>
  <si>
    <t>休</t>
  </si>
  <si>
    <t>√</t>
  </si>
  <si>
    <t>调休</t>
  </si>
  <si>
    <t>调休0.25</t>
  </si>
  <si>
    <t>迟到</t>
  </si>
  <si>
    <t>试岗</t>
  </si>
  <si>
    <t>人事</t>
  </si>
  <si>
    <t>5月医保</t>
  </si>
  <si>
    <t>5月社保</t>
  </si>
  <si>
    <t>单位缴纳合计</t>
  </si>
  <si>
    <t>个人缴纳合计</t>
  </si>
  <si>
    <t>单位合计</t>
  </si>
  <si>
    <t>个人合计</t>
  </si>
  <si>
    <t>工伤单位缴费金额</t>
  </si>
  <si>
    <t>失业个人缴费金额</t>
  </si>
  <si>
    <t>南门</t>
  </si>
  <si>
    <t>医保</t>
  </si>
  <si>
    <t>社保</t>
  </si>
  <si>
    <t>入职日期</t>
  </si>
  <si>
    <t>被推荐人</t>
  </si>
  <si>
    <t>是否通过</t>
  </si>
  <si>
    <t>推荐人</t>
  </si>
  <si>
    <t>月份</t>
  </si>
  <si>
    <t>是</t>
  </si>
  <si>
    <t>入职满3个月</t>
  </si>
  <si>
    <t>入职满1个月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</si>
</sst>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 "/>
    <numFmt numFmtId="178" formatCode="0_ "/>
    <numFmt numFmtId="179" formatCode="0.0_ "/>
    <numFmt numFmtId="180" formatCode="0.00_);[Red]\(0.00\)"/>
    <numFmt numFmtId="181" formatCode="0_);[Red]\(0\)"/>
    <numFmt numFmtId="182" formatCode="0.0%"/>
  </numFmts>
  <fonts count="8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2"/>
      <color rgb="FFFF0000"/>
      <name val="宋体"/>
      <charset val="134"/>
    </font>
    <font>
      <b/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name val="宋体"/>
      <charset val="134"/>
    </font>
    <font>
      <sz val="12"/>
      <color indexed="8"/>
      <name val="宋体"/>
      <charset val="0"/>
    </font>
    <font>
      <sz val="12"/>
      <name val="Calibri"/>
      <charset val="134"/>
    </font>
    <font>
      <b/>
      <sz val="14"/>
      <color rgb="FFFF0000"/>
      <name val="宋体"/>
      <charset val="0"/>
    </font>
    <font>
      <b/>
      <sz val="14"/>
      <color rgb="FFFF0000"/>
      <name val="Arial"/>
      <charset val="0"/>
    </font>
    <font>
      <sz val="11"/>
      <name val="宋体"/>
      <charset val="134"/>
      <scheme val="minor"/>
    </font>
    <font>
      <sz val="20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0"/>
      <name val="宋体"/>
      <charset val="134"/>
    </font>
    <font>
      <sz val="12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b/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b/>
      <sz val="14"/>
      <color rgb="FFFF0000"/>
      <name val="微软雅黑"/>
      <charset val="134"/>
    </font>
    <font>
      <b/>
      <sz val="14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2"/>
      <color theme="1"/>
      <name val="仿宋"/>
      <charset val="134"/>
    </font>
    <font>
      <b/>
      <sz val="10"/>
      <color indexed="8"/>
      <name val="Arial"/>
      <charset val="134"/>
    </font>
    <font>
      <b/>
      <sz val="10"/>
      <name val="Arial"/>
      <charset val="134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b/>
      <sz val="10"/>
      <color rgb="FFC00000"/>
      <name val="宋体"/>
      <charset val="134"/>
    </font>
    <font>
      <b/>
      <sz val="10"/>
      <color theme="1"/>
      <name val="微软雅黑"/>
      <charset val="134"/>
    </font>
    <font>
      <b/>
      <sz val="10"/>
      <color rgb="FF000000"/>
      <name val="Arial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b/>
      <sz val="11"/>
      <color indexed="8"/>
      <name val="微软雅黑"/>
      <charset val="134"/>
    </font>
    <font>
      <b/>
      <sz val="10"/>
      <name val="微软雅黑"/>
      <charset val="134"/>
    </font>
    <font>
      <sz val="10"/>
      <name val="Arial"/>
      <charset val="134"/>
    </font>
    <font>
      <sz val="11"/>
      <color rgb="FFFF0000"/>
      <name val="微软雅黑"/>
      <charset val="134"/>
    </font>
    <font>
      <b/>
      <sz val="10"/>
      <color rgb="FFFF0000"/>
      <name val="Arial"/>
      <charset val="134"/>
    </font>
    <font>
      <b/>
      <sz val="10"/>
      <color theme="0"/>
      <name val="微软雅黑"/>
      <charset val="134"/>
    </font>
    <font>
      <sz val="12"/>
      <color theme="1"/>
      <name val="微软雅黑"/>
      <charset val="134"/>
    </font>
    <font>
      <b/>
      <sz val="18"/>
      <color theme="1"/>
      <name val="微软雅黑"/>
      <charset val="134"/>
    </font>
    <font>
      <sz val="10"/>
      <color theme="1"/>
      <name val="宋体"/>
      <charset val="134"/>
    </font>
    <font>
      <sz val="10"/>
      <color rgb="FFFF0000"/>
      <name val="Arial"/>
      <charset val="134"/>
    </font>
    <font>
      <sz val="10"/>
      <name val="宋体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indexed="8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68" fillId="0" borderId="1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19" borderId="14" applyNumberFormat="0" applyAlignment="0" applyProtection="0">
      <alignment vertical="center"/>
    </xf>
    <xf numFmtId="0" fontId="70" fillId="20" borderId="15" applyNumberFormat="0" applyAlignment="0" applyProtection="0">
      <alignment vertical="center"/>
    </xf>
    <xf numFmtId="0" fontId="71" fillId="20" borderId="14" applyNumberFormat="0" applyAlignment="0" applyProtection="0">
      <alignment vertical="center"/>
    </xf>
    <xf numFmtId="0" fontId="72" fillId="21" borderId="16" applyNumberFormat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24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0" fontId="10" fillId="0" borderId="1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4" fontId="15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4" fontId="15" fillId="0" borderId="1" xfId="0" applyNumberFormat="1" applyFont="1" applyBorder="1">
      <alignment vertical="center"/>
    </xf>
    <xf numFmtId="0" fontId="15" fillId="0" borderId="1" xfId="0" applyFont="1" applyBorder="1">
      <alignment vertical="center"/>
    </xf>
    <xf numFmtId="177" fontId="13" fillId="0" borderId="1" xfId="0" applyNumberFormat="1" applyFont="1" applyBorder="1" applyAlignment="1">
      <alignment horizontal="center" vertical="center"/>
    </xf>
    <xf numFmtId="177" fontId="15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7" fontId="18" fillId="0" borderId="0" xfId="0" applyNumberFormat="1" applyFont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7" fontId="21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77" fontId="22" fillId="5" borderId="0" xfId="0" applyNumberFormat="1" applyFont="1" applyFill="1" applyAlignment="1">
      <alignment horizontal="center" vertical="center"/>
    </xf>
    <xf numFmtId="0" fontId="23" fillId="0" borderId="0" xfId="0" applyFont="1">
      <alignment vertical="center"/>
    </xf>
    <xf numFmtId="0" fontId="24" fillId="6" borderId="1" xfId="0" applyFont="1" applyFill="1" applyBorder="1" applyAlignment="1">
      <alignment horizontal="center" vertical="center"/>
    </xf>
    <xf numFmtId="177" fontId="24" fillId="6" borderId="1" xfId="0" applyNumberFormat="1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77" fontId="26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177" fontId="24" fillId="6" borderId="10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9" fillId="0" borderId="1" xfId="0" applyFont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0" fontId="27" fillId="0" borderId="1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26" fillId="0" borderId="1" xfId="0" applyFont="1" applyBorder="1">
      <alignment vertical="center"/>
    </xf>
    <xf numFmtId="177" fontId="26" fillId="0" borderId="1" xfId="0" applyNumberFormat="1" applyFont="1" applyBorder="1">
      <alignment vertical="center"/>
    </xf>
    <xf numFmtId="0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 vertical="center"/>
    </xf>
    <xf numFmtId="177" fontId="29" fillId="0" borderId="0" xfId="0" applyNumberFormat="1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78" fontId="29" fillId="0" borderId="0" xfId="0" applyNumberFormat="1" applyFont="1" applyFill="1" applyAlignment="1">
      <alignment horizontal="center" vertical="center"/>
    </xf>
    <xf numFmtId="177" fontId="29" fillId="0" borderId="0" xfId="0" applyNumberFormat="1" applyFont="1" applyFill="1" applyAlignment="1">
      <alignment horizontal="center" vertical="center"/>
    </xf>
    <xf numFmtId="178" fontId="29" fillId="0" borderId="0" xfId="0" applyNumberFormat="1" applyFont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177" fontId="30" fillId="8" borderId="1" xfId="0" applyNumberFormat="1" applyFont="1" applyFill="1" applyBorder="1" applyAlignment="1">
      <alignment horizontal="center" vertical="center"/>
    </xf>
    <xf numFmtId="177" fontId="31" fillId="9" borderId="1" xfId="0" applyNumberFormat="1" applyFont="1" applyFill="1" applyBorder="1" applyAlignment="1">
      <alignment horizontal="center" vertical="center"/>
    </xf>
    <xf numFmtId="0" fontId="32" fillId="0" borderId="1" xfId="0" applyNumberFormat="1" applyFont="1" applyFill="1" applyBorder="1" applyAlignment="1">
      <alignment horizontal="center" vertical="center" wrapText="1"/>
    </xf>
    <xf numFmtId="177" fontId="29" fillId="9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177" fontId="36" fillId="11" borderId="1" xfId="0" applyNumberFormat="1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177" fontId="19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177" fontId="37" fillId="9" borderId="1" xfId="0" applyNumberFormat="1" applyFont="1" applyFill="1" applyBorder="1" applyAlignment="1">
      <alignment horizontal="center" vertical="center"/>
    </xf>
    <xf numFmtId="177" fontId="37" fillId="0" borderId="1" xfId="0" applyNumberFormat="1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/>
    </xf>
    <xf numFmtId="177" fontId="29" fillId="0" borderId="1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77" fontId="35" fillId="0" borderId="1" xfId="0" applyNumberFormat="1" applyFont="1" applyBorder="1" applyAlignment="1">
      <alignment horizontal="center" vertical="center"/>
    </xf>
    <xf numFmtId="0" fontId="36" fillId="12" borderId="9" xfId="0" applyFont="1" applyFill="1" applyBorder="1" applyAlignment="1">
      <alignment horizontal="center" vertical="center"/>
    </xf>
    <xf numFmtId="178" fontId="36" fillId="12" borderId="9" xfId="0" applyNumberFormat="1" applyFont="1" applyFill="1" applyBorder="1" applyAlignment="1">
      <alignment horizontal="center" vertical="center"/>
    </xf>
    <xf numFmtId="177" fontId="36" fillId="12" borderId="8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178" fontId="30" fillId="3" borderId="1" xfId="0" applyNumberFormat="1" applyFont="1" applyFill="1" applyBorder="1" applyAlignment="1">
      <alignment horizontal="center" vertical="center"/>
    </xf>
    <xf numFmtId="177" fontId="30" fillId="3" borderId="1" xfId="0" applyNumberFormat="1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37" fillId="0" borderId="1" xfId="0" applyNumberFormat="1" applyFont="1" applyFill="1" applyBorder="1" applyAlignment="1">
      <alignment horizontal="center" vertical="center"/>
    </xf>
    <xf numFmtId="178" fontId="29" fillId="0" borderId="1" xfId="0" applyNumberFormat="1" applyFont="1" applyBorder="1" applyAlignment="1">
      <alignment horizontal="center" vertical="center"/>
    </xf>
    <xf numFmtId="177" fontId="0" fillId="9" borderId="1" xfId="0" applyNumberFormat="1" applyFill="1" applyBorder="1">
      <alignment vertical="center"/>
    </xf>
    <xf numFmtId="177" fontId="38" fillId="13" borderId="1" xfId="0" applyNumberFormat="1" applyFont="1" applyFill="1" applyBorder="1" applyAlignment="1">
      <alignment horizontal="center" vertical="center"/>
    </xf>
    <xf numFmtId="9" fontId="27" fillId="0" borderId="1" xfId="0" applyNumberFormat="1" applyFont="1" applyBorder="1" applyAlignment="1">
      <alignment horizontal="center" vertical="center"/>
    </xf>
    <xf numFmtId="178" fontId="29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9" fontId="39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8" fontId="26" fillId="0" borderId="1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1" fillId="0" borderId="1" xfId="0" applyNumberFormat="1" applyFont="1" applyFill="1" applyBorder="1" applyAlignment="1">
      <alignment horizontal="center" vertical="center" wrapText="1"/>
    </xf>
    <xf numFmtId="180" fontId="42" fillId="14" borderId="1" xfId="0" applyNumberFormat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/>
    </xf>
    <xf numFmtId="0" fontId="44" fillId="0" borderId="1" xfId="0" applyNumberFormat="1" applyFont="1" applyFill="1" applyBorder="1" applyAlignment="1">
      <alignment horizontal="center" vertical="center" wrapText="1"/>
    </xf>
    <xf numFmtId="181" fontId="42" fillId="14" borderId="1" xfId="0" applyNumberFormat="1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7" fontId="19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9" fontId="19" fillId="0" borderId="1" xfId="0" applyNumberFormat="1" applyFont="1" applyFill="1" applyBorder="1" applyAlignment="1">
      <alignment horizontal="center" vertical="center"/>
    </xf>
    <xf numFmtId="182" fontId="0" fillId="0" borderId="10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48" fillId="15" borderId="1" xfId="0" applyFont="1" applyFill="1" applyBorder="1" applyAlignment="1">
      <alignment horizontal="center" vertical="center" wrapText="1"/>
    </xf>
    <xf numFmtId="0" fontId="48" fillId="15" borderId="1" xfId="0" applyNumberFormat="1" applyFont="1" applyFill="1" applyBorder="1" applyAlignment="1">
      <alignment horizontal="center" vertical="center" wrapText="1"/>
    </xf>
    <xf numFmtId="0" fontId="41" fillId="15" borderId="1" xfId="0" applyFont="1" applyFill="1" applyBorder="1" applyAlignment="1">
      <alignment horizontal="center" vertical="center" wrapText="1"/>
    </xf>
    <xf numFmtId="0" fontId="49" fillId="0" borderId="1" xfId="0" applyNumberFormat="1" applyFont="1" applyFill="1" applyBorder="1" applyAlignment="1">
      <alignment horizontal="center"/>
    </xf>
    <xf numFmtId="0" fontId="40" fillId="0" borderId="1" xfId="0" applyNumberFormat="1" applyFont="1" applyFill="1" applyBorder="1" applyAlignment="1">
      <alignment horizontal="center"/>
    </xf>
    <xf numFmtId="0" fontId="50" fillId="15" borderId="1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/>
    </xf>
    <xf numFmtId="180" fontId="29" fillId="0" borderId="1" xfId="0" applyNumberFormat="1" applyFont="1" applyFill="1" applyBorder="1" applyAlignment="1">
      <alignment horizontal="center" vertical="center" wrapText="1"/>
    </xf>
    <xf numFmtId="180" fontId="51" fillId="0" borderId="1" xfId="0" applyNumberFormat="1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vertical="center"/>
    </xf>
    <xf numFmtId="180" fontId="29" fillId="16" borderId="1" xfId="0" applyNumberFormat="1" applyFont="1" applyFill="1" applyBorder="1" applyAlignment="1">
      <alignment vertical="center" wrapText="1"/>
    </xf>
    <xf numFmtId="0" fontId="52" fillId="0" borderId="8" xfId="0" applyNumberFormat="1" applyFont="1" applyFill="1" applyBorder="1" applyAlignment="1">
      <alignment horizontal="center" vertical="center"/>
    </xf>
    <xf numFmtId="180" fontId="53" fillId="0" borderId="1" xfId="0" applyNumberFormat="1" applyFont="1" applyFill="1" applyBorder="1" applyAlignment="1">
      <alignment horizontal="center" vertical="center" wrapText="1"/>
    </xf>
    <xf numFmtId="0" fontId="54" fillId="14" borderId="1" xfId="0" applyFont="1" applyFill="1" applyBorder="1" applyAlignment="1">
      <alignment horizontal="center" vertical="center" wrapText="1"/>
    </xf>
    <xf numFmtId="0" fontId="41" fillId="15" borderId="7" xfId="0" applyFont="1" applyFill="1" applyBorder="1" applyAlignment="1">
      <alignment horizontal="center" vertical="center" wrapText="1"/>
    </xf>
    <xf numFmtId="0" fontId="41" fillId="15" borderId="9" xfId="0" applyFont="1" applyFill="1" applyBorder="1" applyAlignment="1">
      <alignment horizontal="center" vertical="center" wrapText="1"/>
    </xf>
    <xf numFmtId="0" fontId="41" fillId="15" borderId="8" xfId="0" applyFont="1" applyFill="1" applyBorder="1" applyAlignment="1">
      <alignment horizontal="center" vertical="center" wrapText="1"/>
    </xf>
    <xf numFmtId="0" fontId="42" fillId="14" borderId="1" xfId="0" applyFont="1" applyFill="1" applyBorder="1" applyAlignment="1">
      <alignment horizontal="center" vertical="center" wrapText="1"/>
    </xf>
    <xf numFmtId="0" fontId="33" fillId="15" borderId="1" xfId="0" applyFont="1" applyFill="1" applyBorder="1" applyAlignment="1">
      <alignment horizontal="center" vertical="center" wrapText="1"/>
    </xf>
    <xf numFmtId="177" fontId="41" fillId="15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177" fontId="51" fillId="0" borderId="1" xfId="0" applyNumberFormat="1" applyFont="1" applyFill="1" applyBorder="1" applyAlignment="1">
      <alignment horizontal="center" vertical="center" wrapText="1"/>
    </xf>
    <xf numFmtId="181" fontId="54" fillId="14" borderId="1" xfId="0" applyNumberFormat="1" applyFont="1" applyFill="1" applyBorder="1" applyAlignment="1">
      <alignment horizontal="center" vertical="center" wrapText="1"/>
    </xf>
    <xf numFmtId="177" fontId="54" fillId="14" borderId="1" xfId="0" applyNumberFormat="1" applyFont="1" applyFill="1" applyBorder="1" applyAlignment="1">
      <alignment horizontal="center" vertical="center" wrapText="1"/>
    </xf>
    <xf numFmtId="177" fontId="50" fillId="15" borderId="1" xfId="0" applyNumberFormat="1" applyFont="1" applyFill="1" applyBorder="1" applyAlignment="1">
      <alignment horizontal="center" vertical="center" wrapText="1"/>
    </xf>
    <xf numFmtId="177" fontId="42" fillId="14" borderId="1" xfId="0" applyNumberFormat="1" applyFont="1" applyFill="1" applyBorder="1" applyAlignment="1">
      <alignment horizontal="center" vertical="center" wrapText="1"/>
    </xf>
    <xf numFmtId="179" fontId="51" fillId="0" borderId="1" xfId="0" applyNumberFormat="1" applyFont="1" applyFill="1" applyBorder="1" applyAlignment="1">
      <alignment horizontal="center" vertical="center" wrapText="1"/>
    </xf>
    <xf numFmtId="0" fontId="54" fillId="17" borderId="1" xfId="0" applyFont="1" applyFill="1" applyBorder="1" applyAlignment="1">
      <alignment horizontal="center" vertical="center" wrapText="1"/>
    </xf>
    <xf numFmtId="0" fontId="42" fillId="17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177" fontId="42" fillId="17" borderId="1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56" fillId="0" borderId="0" xfId="0" applyFont="1" applyFill="1" applyAlignment="1">
      <alignment horizontal="center" vertical="center"/>
    </xf>
    <xf numFmtId="0" fontId="49" fillId="0" borderId="1" xfId="0" applyNumberFormat="1" applyFont="1" applyFill="1" applyBorder="1" applyAlignment="1">
      <alignment vertical="center"/>
    </xf>
    <xf numFmtId="0" fontId="34" fillId="12" borderId="1" xfId="0" applyFont="1" applyFill="1" applyBorder="1" applyAlignment="1">
      <alignment horizontal="center" vertical="center"/>
    </xf>
    <xf numFmtId="0" fontId="49" fillId="0" borderId="4" xfId="0" applyNumberFormat="1" applyFont="1" applyFill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center" vertical="center"/>
    </xf>
    <xf numFmtId="0" fontId="49" fillId="0" borderId="10" xfId="0" applyNumberFormat="1" applyFont="1" applyFill="1" applyBorder="1" applyAlignment="1">
      <alignment horizontal="center" vertical="center"/>
    </xf>
    <xf numFmtId="0" fontId="49" fillId="0" borderId="3" xfId="0" applyNumberFormat="1" applyFont="1" applyFill="1" applyBorder="1" applyAlignment="1">
      <alignment horizontal="center" vertical="center"/>
    </xf>
    <xf numFmtId="180" fontId="29" fillId="16" borderId="1" xfId="0" applyNumberFormat="1" applyFont="1" applyFill="1" applyBorder="1" applyAlignment="1">
      <alignment horizontal="center" vertical="center" wrapText="1"/>
    </xf>
    <xf numFmtId="9" fontId="51" fillId="0" borderId="1" xfId="0" applyNumberFormat="1" applyFont="1" applyFill="1" applyBorder="1" applyAlignment="1">
      <alignment horizontal="center" vertical="center" wrapText="1"/>
    </xf>
    <xf numFmtId="0" fontId="57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/>
    </xf>
    <xf numFmtId="177" fontId="53" fillId="0" borderId="1" xfId="0" applyNumberFormat="1" applyFont="1" applyFill="1" applyBorder="1" applyAlignment="1">
      <alignment horizontal="center" vertical="center" wrapText="1"/>
    </xf>
    <xf numFmtId="178" fontId="56" fillId="0" borderId="0" xfId="0" applyNumberFormat="1" applyFont="1" applyFill="1" applyAlignment="1">
      <alignment horizontal="center" vertical="center"/>
    </xf>
    <xf numFmtId="177" fontId="56" fillId="0" borderId="0" xfId="0" applyNumberFormat="1" applyFont="1" applyFill="1" applyAlignment="1">
      <alignment horizontal="center" vertical="center"/>
    </xf>
    <xf numFmtId="178" fontId="41" fillId="15" borderId="9" xfId="0" applyNumberFormat="1" applyFont="1" applyFill="1" applyBorder="1" applyAlignment="1">
      <alignment horizontal="center" vertical="center" wrapText="1"/>
    </xf>
    <xf numFmtId="177" fontId="41" fillId="15" borderId="9" xfId="0" applyNumberFormat="1" applyFont="1" applyFill="1" applyBorder="1" applyAlignment="1">
      <alignment horizontal="center" vertical="center" wrapText="1"/>
    </xf>
    <xf numFmtId="178" fontId="33" fillId="15" borderId="1" xfId="0" applyNumberFormat="1" applyFont="1" applyFill="1" applyBorder="1" applyAlignment="1">
      <alignment horizontal="center" vertical="center" wrapText="1"/>
    </xf>
    <xf numFmtId="178" fontId="51" fillId="0" borderId="1" xfId="0" applyNumberFormat="1" applyFont="1" applyFill="1" applyBorder="1" applyAlignment="1">
      <alignment horizontal="center" vertical="center" wrapText="1"/>
    </xf>
    <xf numFmtId="179" fontId="58" fillId="0" borderId="1" xfId="0" applyNumberFormat="1" applyFont="1" applyFill="1" applyBorder="1" applyAlignment="1">
      <alignment horizontal="center" vertical="center" wrapText="1"/>
    </xf>
    <xf numFmtId="177" fontId="59" fillId="0" borderId="1" xfId="0" applyNumberFormat="1" applyFont="1" applyFill="1" applyBorder="1" applyAlignment="1">
      <alignment horizontal="center" vertical="center" wrapText="1"/>
    </xf>
    <xf numFmtId="178" fontId="53" fillId="0" borderId="1" xfId="0" applyNumberFormat="1" applyFont="1" applyFill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4" xfId="5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B4C6E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5.png"/><Relationship Id="rId3" Type="http://schemas.openxmlformats.org/officeDocument/2006/relationships/image" Target="media/image4.png"/><Relationship Id="rId2" Type="http://schemas.openxmlformats.org/officeDocument/2006/relationships/image" Target="media/image3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www.wps.cn/officeDocument/2020/cellImage" Target="cellimages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28575</xdr:colOff>
      <xdr:row>14</xdr:row>
      <xdr:rowOff>161925</xdr:rowOff>
    </xdr:from>
    <xdr:to>
      <xdr:col>14</xdr:col>
      <xdr:colOff>464820</xdr:colOff>
      <xdr:row>38</xdr:row>
      <xdr:rowOff>83820</xdr:rowOff>
    </xdr:to>
    <xdr:pic>
      <xdr:nvPicPr>
        <xdr:cNvPr id="2" name="ID_FCEF24F7A984470699E6C1D50CF9BF4E" descr="企业微信截图_171559381792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9875" y="2562225"/>
          <a:ext cx="4589145" cy="40366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534;&#31287;&#26222;&#24800;-&#20809;&#21457;&#65292;5&#26376;&#36134;&#21333;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405_&#31246;&#27454;&#35745;&#31639;_&#24037;&#36164;&#34218;&#37329;&#25152;&#2447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2">
          <cell r="I12">
            <v>1021.52</v>
          </cell>
        </row>
        <row r="22">
          <cell r="I22">
            <v>154.16</v>
          </cell>
        </row>
        <row r="26">
          <cell r="I26">
            <v>350.32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综合所得申报税款计算"/>
    </sheetNames>
    <sheetDataSet>
      <sheetData sheetId="0">
        <row r="1">
          <cell r="B1" t="str">
            <v>姓名</v>
          </cell>
          <cell r="C1" t="str">
            <v>证件类型</v>
          </cell>
          <cell r="D1" t="str">
            <v>证件号码</v>
          </cell>
          <cell r="E1" t="str">
            <v>税款所属期起</v>
          </cell>
          <cell r="F1" t="str">
            <v>税款所属期止</v>
          </cell>
          <cell r="G1" t="str">
            <v>所得项目</v>
          </cell>
          <cell r="H1" t="str">
            <v>本期收入</v>
          </cell>
          <cell r="I1" t="str">
            <v>本期费用</v>
          </cell>
          <cell r="J1" t="str">
            <v>本期免税收入</v>
          </cell>
          <cell r="K1" t="str">
            <v>本期基本养老保险费</v>
          </cell>
          <cell r="L1" t="str">
            <v>本期基本医疗保险费</v>
          </cell>
          <cell r="M1" t="str">
            <v>本期失业保险费</v>
          </cell>
          <cell r="N1" t="str">
            <v>本期住房公积金</v>
          </cell>
          <cell r="O1" t="str">
            <v>本期企业(职业)年金</v>
          </cell>
          <cell r="P1" t="str">
            <v>本期商业健康保险费</v>
          </cell>
          <cell r="Q1" t="str">
            <v>本期税延养老保险费</v>
          </cell>
          <cell r="R1" t="str">
            <v>本期其他扣除(其他)</v>
          </cell>
          <cell r="S1" t="str">
            <v>累计收入额</v>
          </cell>
          <cell r="T1" t="str">
            <v>累计免税收入</v>
          </cell>
          <cell r="U1" t="str">
            <v>累计减除费用</v>
          </cell>
          <cell r="V1" t="str">
            <v>累计专项扣除</v>
          </cell>
          <cell r="W1" t="str">
            <v>累计子女教育支出扣除</v>
          </cell>
          <cell r="X1" t="str">
            <v>累计继续教育支出扣除</v>
          </cell>
          <cell r="Y1" t="str">
            <v>累计住房贷款利息支出扣除</v>
          </cell>
          <cell r="Z1" t="str">
            <v>累计住房租金支出扣除</v>
          </cell>
          <cell r="AA1" t="str">
            <v>累计赡养老人支出扣除</v>
          </cell>
          <cell r="AB1" t="str">
            <v>累计3岁以下婴幼儿照护</v>
          </cell>
          <cell r="AC1" t="str">
            <v>累计个人养老金</v>
          </cell>
          <cell r="AD1" t="str">
            <v>累计其他扣除</v>
          </cell>
          <cell r="AE1" t="str">
            <v>累计准予扣除的捐赠</v>
          </cell>
          <cell r="AF1" t="str">
            <v>累计应纳税所得额</v>
          </cell>
          <cell r="AG1" t="str">
            <v>税率</v>
          </cell>
          <cell r="AH1" t="str">
            <v>速算扣除数</v>
          </cell>
          <cell r="AI1" t="str">
            <v>累计应纳税额</v>
          </cell>
          <cell r="AJ1" t="str">
            <v>累计减免税额</v>
          </cell>
          <cell r="AK1" t="str">
            <v>累计应扣缴税额</v>
          </cell>
          <cell r="AL1" t="str">
            <v>已缴税额</v>
          </cell>
          <cell r="AM1" t="str">
            <v>应补(退)税额</v>
          </cell>
        </row>
        <row r="2">
          <cell r="B2" t="str">
            <v>项能凯</v>
          </cell>
          <cell r="C2" t="str">
            <v>居民身份证</v>
          </cell>
          <cell r="D2" t="str">
            <v>513002199307167857</v>
          </cell>
          <cell r="E2" t="str">
            <v>2024-05-01</v>
          </cell>
          <cell r="F2" t="str">
            <v>2024-05-31</v>
          </cell>
          <cell r="G2" t="str">
            <v>正常工资薪金</v>
          </cell>
          <cell r="H2">
            <v>7779.27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8147.27</v>
          </cell>
          <cell r="T2">
            <v>0</v>
          </cell>
          <cell r="U2">
            <v>10000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0.03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</row>
        <row r="3">
          <cell r="B3" t="str">
            <v>刘潘潘</v>
          </cell>
          <cell r="C3" t="str">
            <v>居民身份证</v>
          </cell>
          <cell r="D3" t="str">
            <v>510823199410196907</v>
          </cell>
          <cell r="E3" t="str">
            <v>2024-05-01</v>
          </cell>
          <cell r="F3" t="str">
            <v>2024-05-31</v>
          </cell>
          <cell r="G3" t="str">
            <v>正常工资薪金</v>
          </cell>
          <cell r="H3">
            <v>9859.49</v>
          </cell>
          <cell r="I3">
            <v>0</v>
          </cell>
          <cell r="J3">
            <v>0</v>
          </cell>
          <cell r="K3">
            <v>339.68</v>
          </cell>
          <cell r="L3">
            <v>84.92</v>
          </cell>
          <cell r="M3">
            <v>16.98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33849.09</v>
          </cell>
          <cell r="T3">
            <v>0</v>
          </cell>
          <cell r="U3">
            <v>25000</v>
          </cell>
          <cell r="V3">
            <v>1239.82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7609.27</v>
          </cell>
          <cell r="AG3">
            <v>0.03</v>
          </cell>
          <cell r="AH3">
            <v>0</v>
          </cell>
          <cell r="AI3">
            <v>228.28</v>
          </cell>
          <cell r="AJ3">
            <v>0</v>
          </cell>
          <cell r="AK3">
            <v>228.28</v>
          </cell>
          <cell r="AL3">
            <v>95.74</v>
          </cell>
          <cell r="AM3">
            <v>132.54</v>
          </cell>
        </row>
        <row r="4">
          <cell r="B4" t="str">
            <v>唐军</v>
          </cell>
          <cell r="C4" t="str">
            <v>居民身份证</v>
          </cell>
          <cell r="D4" t="str">
            <v>511011199007106790</v>
          </cell>
          <cell r="E4" t="str">
            <v>2024-05-01</v>
          </cell>
          <cell r="F4" t="str">
            <v>2024-05-31</v>
          </cell>
          <cell r="G4" t="str">
            <v>正常工资薪金</v>
          </cell>
          <cell r="H4">
            <v>7091.52</v>
          </cell>
          <cell r="I4">
            <v>0</v>
          </cell>
          <cell r="J4">
            <v>0</v>
          </cell>
          <cell r="K4">
            <v>339.68</v>
          </cell>
          <cell r="L4">
            <v>84.92</v>
          </cell>
          <cell r="M4">
            <v>16.98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45834.27</v>
          </cell>
          <cell r="T4">
            <v>0</v>
          </cell>
          <cell r="U4">
            <v>25000</v>
          </cell>
          <cell r="V4">
            <v>2207.9</v>
          </cell>
          <cell r="W4">
            <v>0</v>
          </cell>
          <cell r="X4">
            <v>0</v>
          </cell>
          <cell r="Y4">
            <v>2500</v>
          </cell>
          <cell r="Z4">
            <v>0</v>
          </cell>
          <cell r="AA4">
            <v>15000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1126.37</v>
          </cell>
          <cell r="AG4">
            <v>0.03</v>
          </cell>
          <cell r="AH4">
            <v>0</v>
          </cell>
          <cell r="AI4">
            <v>33.79</v>
          </cell>
          <cell r="AJ4">
            <v>0</v>
          </cell>
          <cell r="AK4">
            <v>33.79</v>
          </cell>
          <cell r="AL4">
            <v>89.29</v>
          </cell>
          <cell r="AM4">
            <v>0</v>
          </cell>
        </row>
        <row r="5">
          <cell r="B5" t="str">
            <v>谢灿</v>
          </cell>
          <cell r="C5" t="str">
            <v>居民身份证</v>
          </cell>
          <cell r="D5" t="str">
            <v>511722200112038331</v>
          </cell>
          <cell r="E5" t="str">
            <v>2024-05-01</v>
          </cell>
          <cell r="F5" t="str">
            <v>2024-05-31</v>
          </cell>
          <cell r="G5" t="str">
            <v>正常工资薪金</v>
          </cell>
          <cell r="H5">
            <v>2464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4391.27</v>
          </cell>
          <cell r="T5">
            <v>0</v>
          </cell>
          <cell r="U5">
            <v>10000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0.03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</row>
        <row r="6">
          <cell r="B6" t="str">
            <v>侯萍萍</v>
          </cell>
          <cell r="C6" t="str">
            <v>居民身份证</v>
          </cell>
          <cell r="D6" t="str">
            <v>511322200202245922</v>
          </cell>
          <cell r="E6" t="str">
            <v>2024-05-01</v>
          </cell>
          <cell r="F6" t="str">
            <v>2024-05-31</v>
          </cell>
          <cell r="G6" t="str">
            <v>正常工资薪金</v>
          </cell>
          <cell r="H6">
            <v>912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18850.89</v>
          </cell>
          <cell r="T6">
            <v>0</v>
          </cell>
          <cell r="U6">
            <v>20000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0.03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88.17</v>
          </cell>
          <cell r="AM6">
            <v>0</v>
          </cell>
        </row>
        <row r="7">
          <cell r="B7" t="str">
            <v>杨姚</v>
          </cell>
          <cell r="C7" t="str">
            <v>居民身份证</v>
          </cell>
          <cell r="D7" t="str">
            <v>510121199607188416</v>
          </cell>
          <cell r="E7" t="str">
            <v>2024-05-01</v>
          </cell>
          <cell r="F7" t="str">
            <v>2024-05-31</v>
          </cell>
          <cell r="G7" t="str">
            <v>正常工资薪金</v>
          </cell>
          <cell r="H7">
            <v>4500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8372.73</v>
          </cell>
          <cell r="T7">
            <v>0</v>
          </cell>
          <cell r="U7">
            <v>10000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0.03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B8" t="str">
            <v>杨涛</v>
          </cell>
          <cell r="C8" t="str">
            <v>居民身份证</v>
          </cell>
          <cell r="D8" t="str">
            <v>522728199411146936</v>
          </cell>
          <cell r="E8" t="str">
            <v>2024-05-01</v>
          </cell>
          <cell r="F8" t="str">
            <v>2024-05-31</v>
          </cell>
          <cell r="G8" t="str">
            <v>正常工资薪金</v>
          </cell>
          <cell r="H8">
            <v>15239.59</v>
          </cell>
          <cell r="I8">
            <v>0</v>
          </cell>
          <cell r="J8">
            <v>0</v>
          </cell>
          <cell r="K8">
            <v>339.68</v>
          </cell>
          <cell r="L8">
            <v>84.92</v>
          </cell>
          <cell r="M8">
            <v>16.98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39859.37</v>
          </cell>
          <cell r="T8">
            <v>0</v>
          </cell>
          <cell r="U8">
            <v>25000</v>
          </cell>
          <cell r="V8">
            <v>1766.32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13093.05</v>
          </cell>
          <cell r="AG8">
            <v>0.03</v>
          </cell>
          <cell r="AH8">
            <v>0</v>
          </cell>
          <cell r="AI8">
            <v>392.79</v>
          </cell>
          <cell r="AJ8">
            <v>0</v>
          </cell>
          <cell r="AK8">
            <v>392.79</v>
          </cell>
          <cell r="AL8">
            <v>98.85</v>
          </cell>
          <cell r="AM8">
            <v>293.94</v>
          </cell>
        </row>
        <row r="9">
          <cell r="B9" t="str">
            <v>刘茂华</v>
          </cell>
          <cell r="C9" t="str">
            <v>居民身份证</v>
          </cell>
          <cell r="D9" t="str">
            <v>51132420000210428X</v>
          </cell>
          <cell r="E9" t="str">
            <v>2024-05-01</v>
          </cell>
          <cell r="F9" t="str">
            <v>2024-05-31</v>
          </cell>
          <cell r="G9" t="str">
            <v>正常工资薪金</v>
          </cell>
          <cell r="H9">
            <v>4400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24433.75</v>
          </cell>
          <cell r="T9">
            <v>0</v>
          </cell>
          <cell r="U9">
            <v>25000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0.03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1.01</v>
          </cell>
          <cell r="AM9">
            <v>0</v>
          </cell>
        </row>
        <row r="10">
          <cell r="B10" t="str">
            <v>吴俊</v>
          </cell>
          <cell r="C10" t="str">
            <v>居民身份证</v>
          </cell>
          <cell r="D10" t="str">
            <v>510722199002188818</v>
          </cell>
          <cell r="E10" t="str">
            <v>2024-05-01</v>
          </cell>
          <cell r="F10" t="str">
            <v>2024-05-31</v>
          </cell>
          <cell r="G10" t="str">
            <v>正常工资薪金</v>
          </cell>
          <cell r="H10">
            <v>7495.3</v>
          </cell>
          <cell r="I10">
            <v>0</v>
          </cell>
          <cell r="J10">
            <v>0</v>
          </cell>
          <cell r="K10">
            <v>339.68</v>
          </cell>
          <cell r="L10">
            <v>84.92</v>
          </cell>
          <cell r="M10">
            <v>16.98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47280.9</v>
          </cell>
          <cell r="T10">
            <v>0</v>
          </cell>
          <cell r="U10">
            <v>25000</v>
          </cell>
          <cell r="V10">
            <v>2207.9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20073</v>
          </cell>
          <cell r="AG10">
            <v>0.03</v>
          </cell>
          <cell r="AH10">
            <v>0</v>
          </cell>
          <cell r="AI10">
            <v>602.19</v>
          </cell>
          <cell r="AJ10">
            <v>0</v>
          </cell>
          <cell r="AK10">
            <v>602.19</v>
          </cell>
          <cell r="AL10">
            <v>180.58</v>
          </cell>
          <cell r="AM10">
            <v>421.61</v>
          </cell>
        </row>
        <row r="11">
          <cell r="B11" t="str">
            <v>陈河洁</v>
          </cell>
          <cell r="C11" t="str">
            <v>居民身份证</v>
          </cell>
          <cell r="D11" t="str">
            <v>511123199708125362</v>
          </cell>
          <cell r="E11" t="str">
            <v>2024-05-01</v>
          </cell>
          <cell r="F11" t="str">
            <v>2024-05-31</v>
          </cell>
          <cell r="G11" t="str">
            <v>正常工资薪金</v>
          </cell>
          <cell r="H11">
            <v>3700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7200</v>
          </cell>
          <cell r="T11">
            <v>0</v>
          </cell>
          <cell r="U11">
            <v>10000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0.03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B12" t="str">
            <v>何肖</v>
          </cell>
          <cell r="C12" t="str">
            <v>居民身份证</v>
          </cell>
          <cell r="D12" t="str">
            <v>511321199402102086</v>
          </cell>
          <cell r="E12" t="str">
            <v>2024-05-01</v>
          </cell>
          <cell r="F12" t="str">
            <v>2024-05-31</v>
          </cell>
          <cell r="G12" t="str">
            <v>正常工资薪金</v>
          </cell>
          <cell r="H12">
            <v>10058.01</v>
          </cell>
          <cell r="I12">
            <v>0</v>
          </cell>
          <cell r="J12">
            <v>0</v>
          </cell>
          <cell r="K12">
            <v>84.92</v>
          </cell>
          <cell r="L12">
            <v>356.66</v>
          </cell>
          <cell r="M12">
            <v>16.98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33976.4</v>
          </cell>
          <cell r="T12">
            <v>0</v>
          </cell>
          <cell r="U12">
            <v>25000</v>
          </cell>
          <cell r="V12">
            <v>2224.88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6751.52</v>
          </cell>
          <cell r="AG12">
            <v>0.03</v>
          </cell>
          <cell r="AH12">
            <v>0</v>
          </cell>
          <cell r="AI12">
            <v>202.55</v>
          </cell>
          <cell r="AJ12">
            <v>0</v>
          </cell>
          <cell r="AK12">
            <v>202.55</v>
          </cell>
          <cell r="AL12">
            <v>64.56</v>
          </cell>
          <cell r="AM12">
            <v>137.99</v>
          </cell>
        </row>
        <row r="13">
          <cell r="B13" t="str">
            <v>唐连莲</v>
          </cell>
          <cell r="C13" t="str">
            <v>居民身份证</v>
          </cell>
          <cell r="D13" t="str">
            <v>513029199508231245</v>
          </cell>
          <cell r="E13" t="str">
            <v>2024-05-01</v>
          </cell>
          <cell r="F13" t="str">
            <v>2024-05-31</v>
          </cell>
          <cell r="G13" t="str">
            <v>正常工资薪金</v>
          </cell>
          <cell r="H13">
            <v>5600</v>
          </cell>
          <cell r="I13">
            <v>0</v>
          </cell>
          <cell r="J13">
            <v>0</v>
          </cell>
          <cell r="K13">
            <v>339.68</v>
          </cell>
          <cell r="L13">
            <v>84.92</v>
          </cell>
          <cell r="M13">
            <v>16.98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26000</v>
          </cell>
          <cell r="T13">
            <v>0</v>
          </cell>
          <cell r="U13">
            <v>25000</v>
          </cell>
          <cell r="V13">
            <v>2207.9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0.03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B14" t="str">
            <v>李桂琼</v>
          </cell>
          <cell r="C14" t="str">
            <v>居民身份证</v>
          </cell>
          <cell r="D14" t="str">
            <v>513902198709245226</v>
          </cell>
          <cell r="E14" t="str">
            <v>2024-05-01</v>
          </cell>
          <cell r="F14" t="str">
            <v>2024-05-31</v>
          </cell>
          <cell r="G14" t="str">
            <v>正常工资薪金</v>
          </cell>
          <cell r="H14">
            <v>10569.65</v>
          </cell>
          <cell r="I14">
            <v>0</v>
          </cell>
          <cell r="J14">
            <v>0</v>
          </cell>
          <cell r="K14">
            <v>339.68</v>
          </cell>
          <cell r="L14">
            <v>84.92</v>
          </cell>
          <cell r="M14">
            <v>16.98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33376.39</v>
          </cell>
          <cell r="T14">
            <v>0</v>
          </cell>
          <cell r="U14">
            <v>20000</v>
          </cell>
          <cell r="V14">
            <v>883.16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12493.23</v>
          </cell>
          <cell r="AG14">
            <v>0.03</v>
          </cell>
          <cell r="AH14">
            <v>0</v>
          </cell>
          <cell r="AI14">
            <v>374.8</v>
          </cell>
          <cell r="AJ14">
            <v>0</v>
          </cell>
          <cell r="AK14">
            <v>374.8</v>
          </cell>
          <cell r="AL14">
            <v>220.95</v>
          </cell>
          <cell r="AM14">
            <v>153.85</v>
          </cell>
        </row>
        <row r="15">
          <cell r="B15" t="str">
            <v>杨健中</v>
          </cell>
          <cell r="C15" t="str">
            <v>居民身份证</v>
          </cell>
          <cell r="D15" t="str">
            <v>513221199911271319</v>
          </cell>
          <cell r="E15" t="str">
            <v>2024-05-01</v>
          </cell>
          <cell r="F15" t="str">
            <v>2024-05-31</v>
          </cell>
          <cell r="G15" t="str">
            <v>正常工资薪金</v>
          </cell>
          <cell r="H15">
            <v>6714.7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6714.7</v>
          </cell>
          <cell r="T15">
            <v>0</v>
          </cell>
          <cell r="U15">
            <v>5000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1714.7</v>
          </cell>
          <cell r="AG15">
            <v>0.03</v>
          </cell>
          <cell r="AH15">
            <v>0</v>
          </cell>
          <cell r="AI15">
            <v>51.44</v>
          </cell>
          <cell r="AJ15">
            <v>0</v>
          </cell>
          <cell r="AK15">
            <v>51.44</v>
          </cell>
          <cell r="AL15">
            <v>0</v>
          </cell>
          <cell r="AM15">
            <v>51.44</v>
          </cell>
        </row>
        <row r="16">
          <cell r="B16" t="str">
            <v>罗顺</v>
          </cell>
          <cell r="C16" t="str">
            <v>居民身份证</v>
          </cell>
          <cell r="D16" t="str">
            <v>510104199603210018</v>
          </cell>
          <cell r="E16" t="str">
            <v>2024-05-01</v>
          </cell>
          <cell r="F16" t="str">
            <v>2024-05-31</v>
          </cell>
          <cell r="G16" t="str">
            <v>正常工资薪金</v>
          </cell>
          <cell r="H16">
            <v>14152.21</v>
          </cell>
          <cell r="I16">
            <v>0</v>
          </cell>
          <cell r="J16">
            <v>0</v>
          </cell>
          <cell r="K16">
            <v>339.68</v>
          </cell>
          <cell r="L16">
            <v>84.92</v>
          </cell>
          <cell r="M16">
            <v>16.98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54022.93</v>
          </cell>
          <cell r="T16">
            <v>0</v>
          </cell>
          <cell r="U16">
            <v>25000</v>
          </cell>
          <cell r="V16">
            <v>2207.9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26815.03</v>
          </cell>
          <cell r="AG16">
            <v>0.03</v>
          </cell>
          <cell r="AH16">
            <v>0</v>
          </cell>
          <cell r="AI16">
            <v>804.45</v>
          </cell>
          <cell r="AJ16">
            <v>0</v>
          </cell>
          <cell r="AK16">
            <v>804.45</v>
          </cell>
          <cell r="AL16">
            <v>543.13</v>
          </cell>
          <cell r="AM16">
            <v>261.32</v>
          </cell>
        </row>
        <row r="17">
          <cell r="B17" t="str">
            <v>韩文静</v>
          </cell>
          <cell r="C17" t="str">
            <v>居民身份证</v>
          </cell>
          <cell r="D17" t="str">
            <v>513723199409130924</v>
          </cell>
          <cell r="E17" t="str">
            <v>2024-05-01</v>
          </cell>
          <cell r="F17" t="str">
            <v>2024-05-31</v>
          </cell>
          <cell r="G17" t="str">
            <v>正常工资薪金</v>
          </cell>
          <cell r="H17">
            <v>10825.19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21297.73</v>
          </cell>
          <cell r="T17">
            <v>0</v>
          </cell>
          <cell r="U17">
            <v>15000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6297.73</v>
          </cell>
          <cell r="AG17">
            <v>0.03</v>
          </cell>
          <cell r="AH17">
            <v>0</v>
          </cell>
          <cell r="AI17">
            <v>188.93</v>
          </cell>
          <cell r="AJ17">
            <v>0</v>
          </cell>
          <cell r="AK17">
            <v>188.93</v>
          </cell>
          <cell r="AL17">
            <v>14.18</v>
          </cell>
          <cell r="AM17">
            <v>174.75</v>
          </cell>
        </row>
        <row r="18">
          <cell r="B18" t="str">
            <v>牟蓉琴</v>
          </cell>
          <cell r="C18" t="str">
            <v>居民身份证</v>
          </cell>
          <cell r="D18" t="str">
            <v>513902199901026562</v>
          </cell>
          <cell r="E18" t="str">
            <v>2024-05-01</v>
          </cell>
          <cell r="F18" t="str">
            <v>2024-05-31</v>
          </cell>
          <cell r="G18" t="str">
            <v>正常工资薪金</v>
          </cell>
          <cell r="H18">
            <v>3900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4450</v>
          </cell>
          <cell r="T18">
            <v>0</v>
          </cell>
          <cell r="U18">
            <v>10000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0.03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B19" t="str">
            <v>吴越</v>
          </cell>
          <cell r="C19" t="str">
            <v>居民身份证</v>
          </cell>
          <cell r="D19" t="str">
            <v>513822199202159008</v>
          </cell>
          <cell r="E19" t="str">
            <v>2024-05-01</v>
          </cell>
          <cell r="F19" t="str">
            <v>2024-05-31</v>
          </cell>
          <cell r="G19" t="str">
            <v>正常工资薪金</v>
          </cell>
          <cell r="H19">
            <v>16530.83</v>
          </cell>
          <cell r="I19">
            <v>0</v>
          </cell>
          <cell r="J19">
            <v>0</v>
          </cell>
          <cell r="K19">
            <v>84.92</v>
          </cell>
          <cell r="L19">
            <v>356.66</v>
          </cell>
          <cell r="M19">
            <v>16.98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67338.09</v>
          </cell>
          <cell r="T19">
            <v>0</v>
          </cell>
          <cell r="U19">
            <v>20000</v>
          </cell>
          <cell r="V19">
            <v>1783.3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45554.79</v>
          </cell>
          <cell r="AG19">
            <v>0.1</v>
          </cell>
          <cell r="AH19">
            <v>2520</v>
          </cell>
          <cell r="AI19">
            <v>2035.48</v>
          </cell>
          <cell r="AJ19">
            <v>0</v>
          </cell>
          <cell r="AK19">
            <v>2035.48</v>
          </cell>
          <cell r="AL19">
            <v>1034.48</v>
          </cell>
          <cell r="AM19">
            <v>1001</v>
          </cell>
        </row>
        <row r="20">
          <cell r="B20" t="str">
            <v>王继军</v>
          </cell>
          <cell r="C20" t="str">
            <v>居民身份证</v>
          </cell>
          <cell r="D20" t="str">
            <v>511324199201186198</v>
          </cell>
          <cell r="E20" t="str">
            <v>2024-05-01</v>
          </cell>
          <cell r="F20" t="str">
            <v>2024-05-31</v>
          </cell>
          <cell r="G20" t="str">
            <v>正常工资薪金</v>
          </cell>
          <cell r="H20">
            <v>17752.54</v>
          </cell>
          <cell r="I20">
            <v>0</v>
          </cell>
          <cell r="J20">
            <v>0</v>
          </cell>
          <cell r="K20">
            <v>339.68</v>
          </cell>
          <cell r="L20">
            <v>84.92</v>
          </cell>
          <cell r="M20">
            <v>16.98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72021.46</v>
          </cell>
          <cell r="T20">
            <v>0</v>
          </cell>
          <cell r="U20">
            <v>25000</v>
          </cell>
          <cell r="V20">
            <v>2207.9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44813.56</v>
          </cell>
          <cell r="AG20">
            <v>0.1</v>
          </cell>
          <cell r="AH20">
            <v>2520</v>
          </cell>
          <cell r="AI20">
            <v>1961.36</v>
          </cell>
          <cell r="AJ20">
            <v>0</v>
          </cell>
          <cell r="AK20">
            <v>1961.36</v>
          </cell>
          <cell r="AL20">
            <v>975.08</v>
          </cell>
          <cell r="AM20">
            <v>986.28</v>
          </cell>
        </row>
        <row r="21">
          <cell r="B21" t="str">
            <v>陈斌</v>
          </cell>
          <cell r="C21" t="str">
            <v>居民身份证</v>
          </cell>
          <cell r="D21" t="str">
            <v>510824198110240031</v>
          </cell>
          <cell r="E21" t="str">
            <v>2024-05-01</v>
          </cell>
          <cell r="F21" t="str">
            <v>2024-05-31</v>
          </cell>
          <cell r="G21" t="str">
            <v>正常工资薪金</v>
          </cell>
          <cell r="H21">
            <v>5000</v>
          </cell>
          <cell r="I21">
            <v>0</v>
          </cell>
          <cell r="J21">
            <v>0</v>
          </cell>
          <cell r="K21">
            <v>339.68</v>
          </cell>
          <cell r="L21">
            <v>84.92</v>
          </cell>
          <cell r="M21">
            <v>16.98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25000</v>
          </cell>
          <cell r="T21">
            <v>0</v>
          </cell>
          <cell r="U21">
            <v>60000</v>
          </cell>
          <cell r="V21">
            <v>2207.9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0.03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B22" t="str">
            <v>云佳佳</v>
          </cell>
          <cell r="C22" t="str">
            <v>居民身份证</v>
          </cell>
          <cell r="D22" t="str">
            <v>510623199111244461</v>
          </cell>
          <cell r="E22" t="str">
            <v>2024-05-01</v>
          </cell>
          <cell r="F22" t="str">
            <v>2024-05-31</v>
          </cell>
          <cell r="G22" t="str">
            <v>正常工资薪金</v>
          </cell>
          <cell r="H22">
            <v>20905.04</v>
          </cell>
          <cell r="I22">
            <v>0</v>
          </cell>
          <cell r="J22">
            <v>0</v>
          </cell>
          <cell r="K22">
            <v>339.68</v>
          </cell>
          <cell r="L22">
            <v>84.92</v>
          </cell>
          <cell r="M22">
            <v>16.98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39694.66</v>
          </cell>
          <cell r="T22">
            <v>0</v>
          </cell>
          <cell r="U22">
            <v>15000</v>
          </cell>
          <cell r="V22">
            <v>883.16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23811.5</v>
          </cell>
          <cell r="AG22">
            <v>0.03</v>
          </cell>
          <cell r="AH22">
            <v>0</v>
          </cell>
          <cell r="AI22">
            <v>714.35</v>
          </cell>
          <cell r="AJ22">
            <v>0</v>
          </cell>
          <cell r="AK22">
            <v>714.35</v>
          </cell>
          <cell r="AL22">
            <v>250.44</v>
          </cell>
          <cell r="AM22">
            <v>463.91</v>
          </cell>
        </row>
        <row r="23">
          <cell r="B23" t="str">
            <v>李思宇</v>
          </cell>
          <cell r="C23" t="str">
            <v>居民身份证</v>
          </cell>
          <cell r="D23" t="str">
            <v>513030200004161504</v>
          </cell>
          <cell r="E23" t="str">
            <v>2024-05-01</v>
          </cell>
          <cell r="F23" t="str">
            <v>2024-05-31</v>
          </cell>
          <cell r="G23" t="str">
            <v>正常工资薪金</v>
          </cell>
          <cell r="H23">
            <v>383.33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383.33</v>
          </cell>
          <cell r="T23">
            <v>0</v>
          </cell>
          <cell r="U23">
            <v>5000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0.03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B24" t="str">
            <v>周海菊</v>
          </cell>
          <cell r="C24" t="str">
            <v>居民身份证</v>
          </cell>
          <cell r="D24" t="str">
            <v>513425199611166820</v>
          </cell>
          <cell r="E24" t="str">
            <v>2024-05-01</v>
          </cell>
          <cell r="F24" t="str">
            <v>2024-05-31</v>
          </cell>
          <cell r="G24" t="str">
            <v>正常工资薪金</v>
          </cell>
          <cell r="H24">
            <v>17349.67</v>
          </cell>
          <cell r="I24">
            <v>0</v>
          </cell>
          <cell r="J24">
            <v>0</v>
          </cell>
          <cell r="K24">
            <v>339.68</v>
          </cell>
          <cell r="L24">
            <v>84.92</v>
          </cell>
          <cell r="M24">
            <v>16.98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63201.25</v>
          </cell>
          <cell r="T24">
            <v>0</v>
          </cell>
          <cell r="U24">
            <v>25000</v>
          </cell>
          <cell r="V24">
            <v>2207.9</v>
          </cell>
          <cell r="W24">
            <v>0</v>
          </cell>
          <cell r="X24">
            <v>0</v>
          </cell>
          <cell r="Y24">
            <v>0</v>
          </cell>
          <cell r="Z24">
            <v>7500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28493.35</v>
          </cell>
          <cell r="AG24">
            <v>0.03</v>
          </cell>
          <cell r="AH24">
            <v>0</v>
          </cell>
          <cell r="AI24">
            <v>854.8</v>
          </cell>
          <cell r="AJ24">
            <v>0</v>
          </cell>
          <cell r="AK24">
            <v>854.8</v>
          </cell>
          <cell r="AL24">
            <v>542.56</v>
          </cell>
          <cell r="AM24">
            <v>312.24</v>
          </cell>
        </row>
        <row r="25">
          <cell r="B25" t="str">
            <v>刘阳</v>
          </cell>
          <cell r="C25" t="str">
            <v>居民身份证</v>
          </cell>
          <cell r="D25" t="str">
            <v>513029199404200479</v>
          </cell>
          <cell r="E25" t="str">
            <v>2024-05-01</v>
          </cell>
          <cell r="F25" t="str">
            <v>2024-05-31</v>
          </cell>
          <cell r="G25" t="str">
            <v>正常工资薪金</v>
          </cell>
          <cell r="H25">
            <v>1590.92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50301.55</v>
          </cell>
          <cell r="T25">
            <v>0</v>
          </cell>
          <cell r="U25">
            <v>25000</v>
          </cell>
          <cell r="V25">
            <v>1766.32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23535.23</v>
          </cell>
          <cell r="AG25">
            <v>0.03</v>
          </cell>
          <cell r="AH25">
            <v>0</v>
          </cell>
          <cell r="AI25">
            <v>706.06</v>
          </cell>
          <cell r="AJ25">
            <v>0</v>
          </cell>
          <cell r="AK25">
            <v>706.06</v>
          </cell>
          <cell r="AL25">
            <v>808.33</v>
          </cell>
          <cell r="AM25">
            <v>0</v>
          </cell>
        </row>
        <row r="26">
          <cell r="B26" t="str">
            <v>李瑶</v>
          </cell>
          <cell r="C26" t="str">
            <v>居民身份证</v>
          </cell>
          <cell r="D26" t="str">
            <v>452101199404121545</v>
          </cell>
          <cell r="E26" t="str">
            <v>2024-05-01</v>
          </cell>
          <cell r="F26" t="str">
            <v>2024-05-31</v>
          </cell>
          <cell r="G26" t="str">
            <v>正常工资薪金</v>
          </cell>
          <cell r="H26">
            <v>17564.55</v>
          </cell>
          <cell r="I26">
            <v>0</v>
          </cell>
          <cell r="J26">
            <v>0</v>
          </cell>
          <cell r="K26">
            <v>84.92</v>
          </cell>
          <cell r="L26">
            <v>356.66</v>
          </cell>
          <cell r="M26">
            <v>16.98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49506.47</v>
          </cell>
          <cell r="T26">
            <v>0</v>
          </cell>
          <cell r="U26">
            <v>25000</v>
          </cell>
          <cell r="V26">
            <v>2224.88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22281.59</v>
          </cell>
          <cell r="AG26">
            <v>0.03</v>
          </cell>
          <cell r="AH26">
            <v>0</v>
          </cell>
          <cell r="AI26">
            <v>668.45</v>
          </cell>
          <cell r="AJ26">
            <v>0</v>
          </cell>
          <cell r="AK26">
            <v>668.45</v>
          </cell>
          <cell r="AL26">
            <v>324.55</v>
          </cell>
          <cell r="AM26">
            <v>343.9</v>
          </cell>
        </row>
        <row r="27">
          <cell r="B27" t="str">
            <v>黎丽</v>
          </cell>
          <cell r="C27" t="str">
            <v>居民身份证</v>
          </cell>
          <cell r="D27" t="str">
            <v>532125199804151162</v>
          </cell>
          <cell r="E27" t="str">
            <v>2024-05-01</v>
          </cell>
          <cell r="F27" t="str">
            <v>2024-05-31</v>
          </cell>
          <cell r="G27" t="str">
            <v>正常工资薪金</v>
          </cell>
          <cell r="H27">
            <v>5555.18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5555.18</v>
          </cell>
          <cell r="T27">
            <v>0</v>
          </cell>
          <cell r="U27">
            <v>5000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555.18</v>
          </cell>
          <cell r="AG27">
            <v>0.03</v>
          </cell>
          <cell r="AH27">
            <v>0</v>
          </cell>
          <cell r="AI27">
            <v>16.66</v>
          </cell>
          <cell r="AJ27">
            <v>0</v>
          </cell>
          <cell r="AK27">
            <v>16.66</v>
          </cell>
          <cell r="AL27">
            <v>0</v>
          </cell>
          <cell r="AM27">
            <v>16.66</v>
          </cell>
        </row>
        <row r="28">
          <cell r="B28" t="str">
            <v>彭瑜</v>
          </cell>
          <cell r="C28" t="str">
            <v>居民身份证</v>
          </cell>
          <cell r="D28" t="str">
            <v>513029199407174085</v>
          </cell>
          <cell r="E28" t="str">
            <v>2024-05-01</v>
          </cell>
          <cell r="F28" t="str">
            <v>2024-05-31</v>
          </cell>
          <cell r="G28" t="str">
            <v>正常工资薪金</v>
          </cell>
          <cell r="H28">
            <v>3500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6190.91</v>
          </cell>
          <cell r="T28">
            <v>0</v>
          </cell>
          <cell r="U28">
            <v>10000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0.03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B29" t="str">
            <v>周银萍</v>
          </cell>
          <cell r="C29" t="str">
            <v>居民身份证</v>
          </cell>
          <cell r="D29" t="str">
            <v>511025199609042446</v>
          </cell>
          <cell r="E29" t="str">
            <v>2024-05-01</v>
          </cell>
          <cell r="F29" t="str">
            <v>2024-05-31</v>
          </cell>
          <cell r="G29" t="str">
            <v>正常工资薪金</v>
          </cell>
          <cell r="H29">
            <v>8088.05</v>
          </cell>
          <cell r="I29">
            <v>0</v>
          </cell>
          <cell r="J29">
            <v>0</v>
          </cell>
          <cell r="K29">
            <v>339.68</v>
          </cell>
          <cell r="L29">
            <v>84.92</v>
          </cell>
          <cell r="M29">
            <v>16.98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34495.86</v>
          </cell>
          <cell r="T29">
            <v>0</v>
          </cell>
          <cell r="U29">
            <v>25000</v>
          </cell>
          <cell r="V29">
            <v>2207.9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7287.96</v>
          </cell>
          <cell r="AG29">
            <v>0.03</v>
          </cell>
          <cell r="AH29">
            <v>0</v>
          </cell>
          <cell r="AI29">
            <v>218.64</v>
          </cell>
          <cell r="AJ29">
            <v>0</v>
          </cell>
          <cell r="AK29">
            <v>218.64</v>
          </cell>
          <cell r="AL29">
            <v>139.24</v>
          </cell>
          <cell r="AM29">
            <v>79.4</v>
          </cell>
        </row>
        <row r="30">
          <cell r="B30" t="str">
            <v>徐勇</v>
          </cell>
          <cell r="C30" t="str">
            <v>居民身份证</v>
          </cell>
          <cell r="D30" t="str">
            <v>51011219900825071X</v>
          </cell>
          <cell r="E30" t="str">
            <v>2024-05-01</v>
          </cell>
          <cell r="F30" t="str">
            <v>2024-05-31</v>
          </cell>
          <cell r="G30" t="str">
            <v>正常工资薪金</v>
          </cell>
          <cell r="H30">
            <v>24074.63</v>
          </cell>
          <cell r="I30">
            <v>0</v>
          </cell>
          <cell r="J30">
            <v>0</v>
          </cell>
          <cell r="K30">
            <v>339.68</v>
          </cell>
          <cell r="L30">
            <v>84.92</v>
          </cell>
          <cell r="M30">
            <v>16.98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85336.98</v>
          </cell>
          <cell r="T30">
            <v>0</v>
          </cell>
          <cell r="U30">
            <v>25000</v>
          </cell>
          <cell r="V30">
            <v>2207.9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58129.08</v>
          </cell>
          <cell r="AG30">
            <v>0.1</v>
          </cell>
          <cell r="AH30">
            <v>2520</v>
          </cell>
          <cell r="AI30">
            <v>3292.91</v>
          </cell>
          <cell r="AJ30">
            <v>0</v>
          </cell>
          <cell r="AK30">
            <v>3292.91</v>
          </cell>
          <cell r="AL30">
            <v>1429.6</v>
          </cell>
          <cell r="AM30">
            <v>1863.31</v>
          </cell>
        </row>
        <row r="31">
          <cell r="B31" t="str">
            <v>王莎莎</v>
          </cell>
          <cell r="C31" t="str">
            <v>居民身份证</v>
          </cell>
          <cell r="D31" t="str">
            <v>511381199410173200</v>
          </cell>
          <cell r="E31" t="str">
            <v>2024-05-01</v>
          </cell>
          <cell r="F31" t="str">
            <v>2024-05-31</v>
          </cell>
          <cell r="G31" t="str">
            <v>正常工资薪金</v>
          </cell>
          <cell r="H31">
            <v>18693.48</v>
          </cell>
          <cell r="I31">
            <v>0</v>
          </cell>
          <cell r="J31">
            <v>0</v>
          </cell>
          <cell r="K31">
            <v>339.68</v>
          </cell>
          <cell r="L31">
            <v>84.92</v>
          </cell>
          <cell r="M31">
            <v>16.98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52826.52</v>
          </cell>
          <cell r="T31">
            <v>0</v>
          </cell>
          <cell r="U31">
            <v>25000</v>
          </cell>
          <cell r="V31">
            <v>2207.9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25618.62</v>
          </cell>
          <cell r="AG31">
            <v>0.03</v>
          </cell>
          <cell r="AH31">
            <v>0</v>
          </cell>
          <cell r="AI31">
            <v>768.56</v>
          </cell>
          <cell r="AJ31">
            <v>0</v>
          </cell>
          <cell r="AK31">
            <v>768.56</v>
          </cell>
          <cell r="AL31">
            <v>371</v>
          </cell>
          <cell r="AM31">
            <v>397.56</v>
          </cell>
        </row>
        <row r="32">
          <cell r="B32" t="str">
            <v>苟梓媛</v>
          </cell>
          <cell r="C32" t="str">
            <v>居民身份证</v>
          </cell>
          <cell r="D32" t="str">
            <v>51300219981008416X</v>
          </cell>
          <cell r="E32" t="str">
            <v>2024-05-01</v>
          </cell>
          <cell r="F32" t="str">
            <v>2024-05-31</v>
          </cell>
          <cell r="G32" t="str">
            <v>正常工资薪金</v>
          </cell>
          <cell r="H32">
            <v>3400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7227.27</v>
          </cell>
          <cell r="T32">
            <v>0</v>
          </cell>
          <cell r="U32">
            <v>10000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0.03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B33" t="str">
            <v>李京钢</v>
          </cell>
          <cell r="C33" t="str">
            <v>居民身份证</v>
          </cell>
          <cell r="D33" t="str">
            <v>513021198502283153</v>
          </cell>
          <cell r="E33" t="str">
            <v>2024-05-01</v>
          </cell>
          <cell r="F33" t="str">
            <v>2024-05-31</v>
          </cell>
          <cell r="G33" t="str">
            <v>正常工资薪金</v>
          </cell>
          <cell r="H33">
            <v>12000</v>
          </cell>
          <cell r="I33">
            <v>0</v>
          </cell>
          <cell r="J33">
            <v>0</v>
          </cell>
          <cell r="K33">
            <v>368</v>
          </cell>
          <cell r="L33">
            <v>92</v>
          </cell>
          <cell r="M33">
            <v>18.4</v>
          </cell>
          <cell r="N33">
            <v>600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56816.67</v>
          </cell>
          <cell r="T33">
            <v>0</v>
          </cell>
          <cell r="U33">
            <v>25000</v>
          </cell>
          <cell r="V33">
            <v>2990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28826.67</v>
          </cell>
          <cell r="AG33">
            <v>0.03</v>
          </cell>
          <cell r="AH33">
            <v>0</v>
          </cell>
          <cell r="AI33">
            <v>864.8</v>
          </cell>
          <cell r="AJ33">
            <v>0</v>
          </cell>
          <cell r="AK33">
            <v>864.8</v>
          </cell>
          <cell r="AL33">
            <v>687.15</v>
          </cell>
          <cell r="AM33">
            <v>177.65</v>
          </cell>
        </row>
        <row r="34">
          <cell r="B34" t="str">
            <v>付首诚</v>
          </cell>
          <cell r="C34" t="str">
            <v>居民身份证</v>
          </cell>
          <cell r="D34" t="str">
            <v>510107199811072974</v>
          </cell>
          <cell r="E34" t="str">
            <v>2024-05-01</v>
          </cell>
          <cell r="F34" t="str">
            <v>2024-05-31</v>
          </cell>
          <cell r="G34" t="str">
            <v>正常工资薪金</v>
          </cell>
          <cell r="H34">
            <v>1143.11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1143.11</v>
          </cell>
          <cell r="T34">
            <v>0</v>
          </cell>
          <cell r="U34">
            <v>5000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0.03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B35" t="str">
            <v>文丽君</v>
          </cell>
          <cell r="C35" t="str">
            <v>居民身份证</v>
          </cell>
          <cell r="D35" t="str">
            <v>511922199407101129</v>
          </cell>
          <cell r="E35" t="str">
            <v>2024-05-01</v>
          </cell>
          <cell r="F35" t="str">
            <v>2024-05-31</v>
          </cell>
          <cell r="G35" t="str">
            <v>正常工资薪金</v>
          </cell>
          <cell r="H35">
            <v>12006.17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14373.61</v>
          </cell>
          <cell r="T35">
            <v>0</v>
          </cell>
          <cell r="U35">
            <v>10000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4373.61</v>
          </cell>
          <cell r="AG35">
            <v>0.03</v>
          </cell>
          <cell r="AH35">
            <v>0</v>
          </cell>
          <cell r="AI35">
            <v>131.21</v>
          </cell>
          <cell r="AJ35">
            <v>0</v>
          </cell>
          <cell r="AK35">
            <v>131.21</v>
          </cell>
          <cell r="AL35">
            <v>0</v>
          </cell>
          <cell r="AM35">
            <v>131.21</v>
          </cell>
        </row>
        <row r="36">
          <cell r="B36" t="str">
            <v>苏淼</v>
          </cell>
          <cell r="C36" t="str">
            <v>居民身份证</v>
          </cell>
          <cell r="D36" t="str">
            <v>51372319980206605X</v>
          </cell>
          <cell r="E36" t="str">
            <v>2024-05-01</v>
          </cell>
          <cell r="F36" t="str">
            <v>2024-05-31</v>
          </cell>
          <cell r="G36" t="str">
            <v>正常工资薪金</v>
          </cell>
          <cell r="H36">
            <v>14453.97</v>
          </cell>
          <cell r="I36">
            <v>0</v>
          </cell>
          <cell r="J36">
            <v>0</v>
          </cell>
          <cell r="K36">
            <v>84.92</v>
          </cell>
          <cell r="L36">
            <v>356.66</v>
          </cell>
          <cell r="M36">
            <v>16.98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58212.46</v>
          </cell>
          <cell r="T36">
            <v>0</v>
          </cell>
          <cell r="U36">
            <v>25000</v>
          </cell>
          <cell r="V36">
            <v>2224.88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30987.58</v>
          </cell>
          <cell r="AG36">
            <v>0.03</v>
          </cell>
          <cell r="AH36">
            <v>0</v>
          </cell>
          <cell r="AI36">
            <v>929.63</v>
          </cell>
          <cell r="AJ36">
            <v>0</v>
          </cell>
          <cell r="AK36">
            <v>929.63</v>
          </cell>
          <cell r="AL36">
            <v>659.77</v>
          </cell>
          <cell r="AM36">
            <v>269.86</v>
          </cell>
        </row>
        <row r="37">
          <cell r="B37" t="str">
            <v>杨檬紫一</v>
          </cell>
          <cell r="C37" t="str">
            <v>居民身份证</v>
          </cell>
          <cell r="D37" t="str">
            <v>510781199801272004</v>
          </cell>
          <cell r="E37" t="str">
            <v>2024-05-01</v>
          </cell>
          <cell r="F37" t="str">
            <v>2024-05-31</v>
          </cell>
          <cell r="G37" t="str">
            <v>正常工资薪金</v>
          </cell>
          <cell r="H37">
            <v>10729.63</v>
          </cell>
          <cell r="I37">
            <v>0</v>
          </cell>
          <cell r="J37">
            <v>0</v>
          </cell>
          <cell r="K37">
            <v>84.92</v>
          </cell>
          <cell r="L37">
            <v>356.66</v>
          </cell>
          <cell r="M37">
            <v>16.98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41750.42</v>
          </cell>
          <cell r="T37">
            <v>0</v>
          </cell>
          <cell r="U37">
            <v>25000</v>
          </cell>
          <cell r="V37">
            <v>2224.88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14525.54</v>
          </cell>
          <cell r="AG37">
            <v>0.03</v>
          </cell>
          <cell r="AH37">
            <v>0</v>
          </cell>
          <cell r="AI37">
            <v>435.77</v>
          </cell>
          <cell r="AJ37">
            <v>0</v>
          </cell>
          <cell r="AK37">
            <v>435.77</v>
          </cell>
          <cell r="AL37">
            <v>277.63</v>
          </cell>
          <cell r="AM37">
            <v>158.14</v>
          </cell>
        </row>
        <row r="38">
          <cell r="B38" t="str">
            <v>谯智霖</v>
          </cell>
          <cell r="C38" t="str">
            <v>居民身份证</v>
          </cell>
          <cell r="D38" t="str">
            <v>511902199307032431</v>
          </cell>
          <cell r="E38" t="str">
            <v>2024-05-01</v>
          </cell>
          <cell r="F38" t="str">
            <v>2024-05-31</v>
          </cell>
          <cell r="G38" t="str">
            <v>正常工资薪金</v>
          </cell>
          <cell r="H38">
            <v>8333.49</v>
          </cell>
          <cell r="I38">
            <v>0</v>
          </cell>
          <cell r="J38">
            <v>0</v>
          </cell>
          <cell r="K38">
            <v>84.92</v>
          </cell>
          <cell r="L38">
            <v>356.66</v>
          </cell>
          <cell r="M38">
            <v>16.98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44325.6</v>
          </cell>
          <cell r="T38">
            <v>0</v>
          </cell>
          <cell r="U38">
            <v>25000</v>
          </cell>
          <cell r="V38">
            <v>2224.88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17100.72</v>
          </cell>
          <cell r="AG38">
            <v>0.03</v>
          </cell>
          <cell r="AH38">
            <v>0</v>
          </cell>
          <cell r="AI38">
            <v>513.02</v>
          </cell>
          <cell r="AJ38">
            <v>0</v>
          </cell>
          <cell r="AK38">
            <v>513.02</v>
          </cell>
          <cell r="AL38">
            <v>426.77</v>
          </cell>
          <cell r="AM38">
            <v>86.25</v>
          </cell>
        </row>
        <row r="39">
          <cell r="B39" t="str">
            <v>杨治华</v>
          </cell>
          <cell r="C39" t="str">
            <v>居民身份证</v>
          </cell>
          <cell r="D39" t="str">
            <v>510105199807063298</v>
          </cell>
          <cell r="E39" t="str">
            <v>2024-05-01</v>
          </cell>
          <cell r="F39" t="str">
            <v>2024-05-31</v>
          </cell>
          <cell r="G39" t="str">
            <v>正常工资薪金</v>
          </cell>
          <cell r="H39">
            <v>9367.15</v>
          </cell>
          <cell r="I39">
            <v>0</v>
          </cell>
          <cell r="J39">
            <v>0</v>
          </cell>
          <cell r="K39">
            <v>84.92</v>
          </cell>
          <cell r="L39">
            <v>356.66</v>
          </cell>
          <cell r="M39">
            <v>16.98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26491.02</v>
          </cell>
          <cell r="T39">
            <v>0</v>
          </cell>
          <cell r="U39">
            <v>15000</v>
          </cell>
          <cell r="V39">
            <v>900.14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10590.88</v>
          </cell>
          <cell r="AG39">
            <v>0.03</v>
          </cell>
          <cell r="AH39">
            <v>0</v>
          </cell>
          <cell r="AI39">
            <v>317.73</v>
          </cell>
          <cell r="AJ39">
            <v>0</v>
          </cell>
          <cell r="AK39">
            <v>317.73</v>
          </cell>
          <cell r="AL39">
            <v>200.47</v>
          </cell>
          <cell r="AM39">
            <v>117.26</v>
          </cell>
        </row>
        <row r="40">
          <cell r="B40" t="str">
            <v>张斌</v>
          </cell>
          <cell r="C40" t="str">
            <v>居民身份证</v>
          </cell>
          <cell r="D40" t="str">
            <v>510112198706121814</v>
          </cell>
          <cell r="E40" t="str">
            <v>2024-05-01</v>
          </cell>
          <cell r="F40" t="str">
            <v>2024-05-31</v>
          </cell>
          <cell r="G40" t="str">
            <v>正常工资薪金</v>
          </cell>
          <cell r="H40">
            <v>7386.27</v>
          </cell>
          <cell r="I40">
            <v>0</v>
          </cell>
          <cell r="J40">
            <v>0</v>
          </cell>
          <cell r="K40">
            <v>339.68</v>
          </cell>
          <cell r="L40">
            <v>84.92</v>
          </cell>
          <cell r="M40">
            <v>16.98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35202.87</v>
          </cell>
          <cell r="T40">
            <v>0</v>
          </cell>
          <cell r="U40">
            <v>25000</v>
          </cell>
          <cell r="V40">
            <v>883.16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9319.71</v>
          </cell>
          <cell r="AG40">
            <v>0.03</v>
          </cell>
          <cell r="AH40">
            <v>0</v>
          </cell>
          <cell r="AI40">
            <v>279.59</v>
          </cell>
          <cell r="AJ40">
            <v>0</v>
          </cell>
          <cell r="AK40">
            <v>279.59</v>
          </cell>
          <cell r="AL40">
            <v>247.52</v>
          </cell>
          <cell r="AM40">
            <v>32.07</v>
          </cell>
        </row>
        <row r="41">
          <cell r="B41" t="str">
            <v>邓诗俞</v>
          </cell>
          <cell r="C41" t="str">
            <v>居民身份证</v>
          </cell>
          <cell r="D41" t="str">
            <v>511623199701033956</v>
          </cell>
          <cell r="E41" t="str">
            <v>2024-05-01</v>
          </cell>
          <cell r="F41" t="str">
            <v>2024-05-31</v>
          </cell>
          <cell r="G41" t="str">
            <v>正常工资薪金</v>
          </cell>
          <cell r="H41">
            <v>12592.05</v>
          </cell>
          <cell r="I41">
            <v>0</v>
          </cell>
          <cell r="J41">
            <v>0</v>
          </cell>
          <cell r="K41">
            <v>339.68</v>
          </cell>
          <cell r="L41">
            <v>84.92</v>
          </cell>
          <cell r="M41">
            <v>16.98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18074.5</v>
          </cell>
          <cell r="T41">
            <v>0</v>
          </cell>
          <cell r="U41">
            <v>10000</v>
          </cell>
          <cell r="V41">
            <v>441.58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7632.92</v>
          </cell>
          <cell r="AG41">
            <v>0.03</v>
          </cell>
          <cell r="AH41">
            <v>0</v>
          </cell>
          <cell r="AI41">
            <v>228.99</v>
          </cell>
          <cell r="AJ41">
            <v>0</v>
          </cell>
          <cell r="AK41">
            <v>228.99</v>
          </cell>
          <cell r="AL41">
            <v>14.47</v>
          </cell>
          <cell r="AM41">
            <v>214.52</v>
          </cell>
        </row>
        <row r="42">
          <cell r="B42" t="str">
            <v>何娜</v>
          </cell>
          <cell r="C42" t="str">
            <v>居民身份证</v>
          </cell>
          <cell r="D42" t="str">
            <v>510821199701299524</v>
          </cell>
          <cell r="E42" t="str">
            <v>2024-05-01</v>
          </cell>
          <cell r="F42" t="str">
            <v>2024-05-31</v>
          </cell>
          <cell r="G42" t="str">
            <v>正常工资薪金</v>
          </cell>
          <cell r="H42">
            <v>13336.13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30174.82</v>
          </cell>
          <cell r="T42">
            <v>0</v>
          </cell>
          <cell r="U42">
            <v>15000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15174.82</v>
          </cell>
          <cell r="AG42">
            <v>0.03</v>
          </cell>
          <cell r="AH42">
            <v>0</v>
          </cell>
          <cell r="AI42">
            <v>455.24</v>
          </cell>
          <cell r="AJ42">
            <v>0</v>
          </cell>
          <cell r="AK42">
            <v>455.24</v>
          </cell>
          <cell r="AL42">
            <v>205.16</v>
          </cell>
          <cell r="AM42">
            <v>250.08</v>
          </cell>
        </row>
        <row r="43">
          <cell r="B43" t="str">
            <v>王柯程</v>
          </cell>
          <cell r="C43" t="str">
            <v>居民身份证</v>
          </cell>
          <cell r="D43" t="str">
            <v>51012519900629581X</v>
          </cell>
          <cell r="E43" t="str">
            <v>2024-05-01</v>
          </cell>
          <cell r="F43" t="str">
            <v>2024-05-31</v>
          </cell>
          <cell r="G43" t="str">
            <v>正常工资薪金</v>
          </cell>
          <cell r="H43">
            <v>17278.1</v>
          </cell>
          <cell r="I43">
            <v>0</v>
          </cell>
          <cell r="J43">
            <v>0</v>
          </cell>
          <cell r="K43">
            <v>339.68</v>
          </cell>
          <cell r="L43">
            <v>84.92</v>
          </cell>
          <cell r="M43">
            <v>16.98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55296.8</v>
          </cell>
          <cell r="T43">
            <v>0</v>
          </cell>
          <cell r="U43">
            <v>25000</v>
          </cell>
          <cell r="V43">
            <v>2207.9</v>
          </cell>
          <cell r="W43">
            <v>0</v>
          </cell>
          <cell r="X43">
            <v>2000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26088.9</v>
          </cell>
          <cell r="AG43">
            <v>0.03</v>
          </cell>
          <cell r="AH43">
            <v>0</v>
          </cell>
          <cell r="AI43">
            <v>782.67</v>
          </cell>
          <cell r="AJ43">
            <v>0</v>
          </cell>
          <cell r="AK43">
            <v>782.67</v>
          </cell>
          <cell r="AL43">
            <v>439.57</v>
          </cell>
          <cell r="AM43">
            <v>343.1</v>
          </cell>
        </row>
        <row r="44">
          <cell r="B44" t="str">
            <v>张蓉</v>
          </cell>
          <cell r="C44" t="str">
            <v>居民身份证</v>
          </cell>
          <cell r="D44" t="str">
            <v>510811199411182368</v>
          </cell>
          <cell r="E44" t="str">
            <v>2024-05-01</v>
          </cell>
          <cell r="F44" t="str">
            <v>2024-05-31</v>
          </cell>
          <cell r="G44" t="str">
            <v>正常工资薪金</v>
          </cell>
          <cell r="H44">
            <v>12454.12</v>
          </cell>
          <cell r="I44">
            <v>0</v>
          </cell>
          <cell r="J44">
            <v>0</v>
          </cell>
          <cell r="K44">
            <v>339.68</v>
          </cell>
          <cell r="L44">
            <v>84.92</v>
          </cell>
          <cell r="M44">
            <v>16.98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58844.91</v>
          </cell>
          <cell r="T44">
            <v>0</v>
          </cell>
          <cell r="U44">
            <v>25000</v>
          </cell>
          <cell r="V44">
            <v>2207.9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31637.01</v>
          </cell>
          <cell r="AG44">
            <v>0.03</v>
          </cell>
          <cell r="AH44">
            <v>0</v>
          </cell>
          <cell r="AI44">
            <v>949.11</v>
          </cell>
          <cell r="AJ44">
            <v>0</v>
          </cell>
          <cell r="AK44">
            <v>949.11</v>
          </cell>
          <cell r="AL44">
            <v>738.73</v>
          </cell>
          <cell r="AM44">
            <v>210.38</v>
          </cell>
        </row>
        <row r="45">
          <cell r="B45" t="str">
            <v>胡怡</v>
          </cell>
          <cell r="C45" t="str">
            <v>居民身份证</v>
          </cell>
          <cell r="D45" t="str">
            <v>513822199508146728</v>
          </cell>
          <cell r="E45" t="str">
            <v>2024-05-01</v>
          </cell>
          <cell r="F45" t="str">
            <v>2024-05-31</v>
          </cell>
          <cell r="G45" t="str">
            <v>正常工资薪金</v>
          </cell>
          <cell r="H45">
            <v>3200</v>
          </cell>
          <cell r="I45">
            <v>0</v>
          </cell>
          <cell r="J45">
            <v>0</v>
          </cell>
          <cell r="K45">
            <v>339.68</v>
          </cell>
          <cell r="L45">
            <v>84.92</v>
          </cell>
          <cell r="M45">
            <v>16.98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20272.12</v>
          </cell>
          <cell r="T45">
            <v>0</v>
          </cell>
          <cell r="U45">
            <v>25000</v>
          </cell>
          <cell r="V45">
            <v>2207.9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0.03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77.34</v>
          </cell>
          <cell r="AM45">
            <v>0</v>
          </cell>
        </row>
        <row r="46">
          <cell r="B46" t="str">
            <v>李爽</v>
          </cell>
          <cell r="C46" t="str">
            <v>居民身份证</v>
          </cell>
          <cell r="D46" t="str">
            <v>513124199505044317</v>
          </cell>
          <cell r="E46" t="str">
            <v>2024-05-01</v>
          </cell>
          <cell r="F46" t="str">
            <v>2024-05-31</v>
          </cell>
          <cell r="G46" t="str">
            <v>正常工资薪金</v>
          </cell>
          <cell r="H46">
            <v>9841.85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15781.53</v>
          </cell>
          <cell r="T46">
            <v>0</v>
          </cell>
          <cell r="U46">
            <v>15000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781.53</v>
          </cell>
          <cell r="AG46">
            <v>0.03</v>
          </cell>
          <cell r="AH46">
            <v>0</v>
          </cell>
          <cell r="AI46">
            <v>23.45</v>
          </cell>
          <cell r="AJ46">
            <v>0</v>
          </cell>
          <cell r="AK46">
            <v>23.45</v>
          </cell>
          <cell r="AL46">
            <v>0</v>
          </cell>
          <cell r="AM46">
            <v>23.45</v>
          </cell>
        </row>
        <row r="47">
          <cell r="B47" t="str">
            <v>熊银华</v>
          </cell>
          <cell r="C47" t="str">
            <v>居民身份证</v>
          </cell>
          <cell r="D47" t="str">
            <v>362501200001256619</v>
          </cell>
          <cell r="E47" t="str">
            <v>2024-05-01</v>
          </cell>
          <cell r="F47" t="str">
            <v>2024-05-31</v>
          </cell>
          <cell r="G47" t="str">
            <v>正常工资薪金</v>
          </cell>
          <cell r="H47">
            <v>13212.13</v>
          </cell>
          <cell r="I47">
            <v>0</v>
          </cell>
          <cell r="J47">
            <v>0</v>
          </cell>
          <cell r="K47">
            <v>84.92</v>
          </cell>
          <cell r="L47">
            <v>356.66</v>
          </cell>
          <cell r="M47">
            <v>16.98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57361.65</v>
          </cell>
          <cell r="T47">
            <v>0</v>
          </cell>
          <cell r="U47">
            <v>25000</v>
          </cell>
          <cell r="V47">
            <v>2224.88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30136.77</v>
          </cell>
          <cell r="AG47">
            <v>0.03</v>
          </cell>
          <cell r="AH47">
            <v>0</v>
          </cell>
          <cell r="AI47">
            <v>904.1</v>
          </cell>
          <cell r="AJ47">
            <v>0</v>
          </cell>
          <cell r="AK47">
            <v>904.1</v>
          </cell>
          <cell r="AL47">
            <v>671.5</v>
          </cell>
          <cell r="AM47">
            <v>232.6</v>
          </cell>
        </row>
        <row r="48">
          <cell r="B48" t="str">
            <v>李闫</v>
          </cell>
          <cell r="C48" t="str">
            <v>居民身份证</v>
          </cell>
          <cell r="D48" t="str">
            <v>510108198306070312</v>
          </cell>
          <cell r="E48" t="str">
            <v>2024-05-01</v>
          </cell>
          <cell r="F48" t="str">
            <v>2024-05-31</v>
          </cell>
          <cell r="G48" t="str">
            <v>正常工资薪金</v>
          </cell>
          <cell r="H48">
            <v>6000</v>
          </cell>
          <cell r="I48">
            <v>0</v>
          </cell>
          <cell r="J48">
            <v>0</v>
          </cell>
          <cell r="K48">
            <v>339.68</v>
          </cell>
          <cell r="L48">
            <v>84.92</v>
          </cell>
          <cell r="M48">
            <v>16.98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11500</v>
          </cell>
          <cell r="T48">
            <v>0</v>
          </cell>
          <cell r="U48">
            <v>10000</v>
          </cell>
          <cell r="V48">
            <v>883.16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616.84</v>
          </cell>
          <cell r="AG48">
            <v>0.03</v>
          </cell>
          <cell r="AH48">
            <v>0</v>
          </cell>
          <cell r="AI48">
            <v>18.51</v>
          </cell>
          <cell r="AJ48">
            <v>0</v>
          </cell>
          <cell r="AK48">
            <v>18.51</v>
          </cell>
          <cell r="AL48">
            <v>1.75</v>
          </cell>
          <cell r="AM48">
            <v>16.76</v>
          </cell>
        </row>
        <row r="49">
          <cell r="B49" t="str">
            <v>姜汝煜</v>
          </cell>
          <cell r="C49" t="str">
            <v>居民身份证</v>
          </cell>
          <cell r="D49" t="str">
            <v>513022198301161519</v>
          </cell>
          <cell r="E49" t="str">
            <v>2024-05-01</v>
          </cell>
          <cell r="F49" t="str">
            <v>2024-05-31</v>
          </cell>
          <cell r="G49" t="str">
            <v>正常工资薪金</v>
          </cell>
          <cell r="H49">
            <v>4500</v>
          </cell>
          <cell r="I49">
            <v>0</v>
          </cell>
          <cell r="J49">
            <v>0</v>
          </cell>
          <cell r="K49">
            <v>339.68</v>
          </cell>
          <cell r="L49">
            <v>84.92</v>
          </cell>
          <cell r="M49">
            <v>16.98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22500</v>
          </cell>
          <cell r="T49">
            <v>0</v>
          </cell>
          <cell r="U49">
            <v>25000</v>
          </cell>
          <cell r="V49">
            <v>2207.9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0.03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B50" t="str">
            <v>蒋易</v>
          </cell>
          <cell r="C50" t="str">
            <v>居民身份证</v>
          </cell>
          <cell r="D50" t="str">
            <v>510121200010195467</v>
          </cell>
          <cell r="E50" t="str">
            <v>2024-05-01</v>
          </cell>
          <cell r="F50" t="str">
            <v>2024-05-31</v>
          </cell>
          <cell r="G50" t="str">
            <v>正常工资薪金</v>
          </cell>
          <cell r="H50">
            <v>12660.89</v>
          </cell>
          <cell r="I50">
            <v>0</v>
          </cell>
          <cell r="J50">
            <v>0</v>
          </cell>
          <cell r="K50">
            <v>84.92</v>
          </cell>
          <cell r="L50">
            <v>356.66</v>
          </cell>
          <cell r="M50">
            <v>16.98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42674.27</v>
          </cell>
          <cell r="T50">
            <v>0</v>
          </cell>
          <cell r="U50">
            <v>25000</v>
          </cell>
          <cell r="V50">
            <v>2224.88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15449.39</v>
          </cell>
          <cell r="AG50">
            <v>0.03</v>
          </cell>
          <cell r="AH50">
            <v>0</v>
          </cell>
          <cell r="AI50">
            <v>463.48</v>
          </cell>
          <cell r="AJ50">
            <v>0</v>
          </cell>
          <cell r="AK50">
            <v>463.48</v>
          </cell>
          <cell r="AL50">
            <v>247.41</v>
          </cell>
          <cell r="AM50">
            <v>216.07</v>
          </cell>
        </row>
        <row r="51">
          <cell r="B51" t="str">
            <v>吴世俊</v>
          </cell>
          <cell r="C51" t="str">
            <v>居民身份证</v>
          </cell>
          <cell r="D51" t="str">
            <v>513221199810181314</v>
          </cell>
          <cell r="E51" t="str">
            <v>2024-05-01</v>
          </cell>
          <cell r="F51" t="str">
            <v>2024-05-31</v>
          </cell>
          <cell r="G51" t="str">
            <v>正常工资薪金</v>
          </cell>
          <cell r="H51">
            <v>8505.78</v>
          </cell>
          <cell r="I51">
            <v>0</v>
          </cell>
          <cell r="J51">
            <v>0</v>
          </cell>
          <cell r="K51">
            <v>0</v>
          </cell>
          <cell r="L51">
            <v>356.66</v>
          </cell>
          <cell r="M51">
            <v>16.98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36350.62</v>
          </cell>
          <cell r="T51">
            <v>0</v>
          </cell>
          <cell r="U51">
            <v>20000</v>
          </cell>
          <cell r="V51">
            <v>1086.96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15263.66</v>
          </cell>
          <cell r="AG51">
            <v>0.03</v>
          </cell>
          <cell r="AH51">
            <v>0</v>
          </cell>
          <cell r="AI51">
            <v>457.91</v>
          </cell>
          <cell r="AJ51">
            <v>0</v>
          </cell>
          <cell r="AK51">
            <v>457.91</v>
          </cell>
          <cell r="AL51">
            <v>363.95</v>
          </cell>
          <cell r="AM51">
            <v>93.96</v>
          </cell>
        </row>
        <row r="52">
          <cell r="B52" t="str">
            <v>刘兴中</v>
          </cell>
          <cell r="C52" t="str">
            <v>居民身份证</v>
          </cell>
          <cell r="D52" t="str">
            <v>513822199408288198</v>
          </cell>
          <cell r="E52" t="str">
            <v>2024-05-01</v>
          </cell>
          <cell r="F52" t="str">
            <v>2024-05-31</v>
          </cell>
          <cell r="G52" t="str">
            <v>正常工资薪金</v>
          </cell>
          <cell r="H52">
            <v>22185.08</v>
          </cell>
          <cell r="I52">
            <v>0</v>
          </cell>
          <cell r="J52">
            <v>0</v>
          </cell>
          <cell r="K52">
            <v>84.92</v>
          </cell>
          <cell r="L52">
            <v>356.66</v>
          </cell>
          <cell r="M52">
            <v>16.98</v>
          </cell>
          <cell r="N52">
            <v>105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94912.72</v>
          </cell>
          <cell r="T52">
            <v>0</v>
          </cell>
          <cell r="U52">
            <v>25000</v>
          </cell>
          <cell r="V52">
            <v>2539.88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67372.84</v>
          </cell>
          <cell r="AG52">
            <v>0.1</v>
          </cell>
          <cell r="AH52">
            <v>2520</v>
          </cell>
          <cell r="AI52">
            <v>4217.28</v>
          </cell>
          <cell r="AJ52">
            <v>0</v>
          </cell>
          <cell r="AK52">
            <v>4217.28</v>
          </cell>
          <cell r="AL52">
            <v>2555.13</v>
          </cell>
          <cell r="AM52">
            <v>1662.15</v>
          </cell>
        </row>
        <row r="53">
          <cell r="B53" t="str">
            <v>王刚</v>
          </cell>
          <cell r="C53" t="str">
            <v>居民身份证</v>
          </cell>
          <cell r="D53" t="str">
            <v>513030199610132310</v>
          </cell>
          <cell r="E53" t="str">
            <v>2024-05-01</v>
          </cell>
          <cell r="F53" t="str">
            <v>2024-05-31</v>
          </cell>
          <cell r="G53" t="str">
            <v>正常工资薪金</v>
          </cell>
          <cell r="H53">
            <v>10971.23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10971.23</v>
          </cell>
          <cell r="T53">
            <v>0</v>
          </cell>
          <cell r="U53">
            <v>5000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5971.23</v>
          </cell>
          <cell r="AG53">
            <v>0.03</v>
          </cell>
          <cell r="AH53">
            <v>0</v>
          </cell>
          <cell r="AI53">
            <v>179.14</v>
          </cell>
          <cell r="AJ53">
            <v>0</v>
          </cell>
          <cell r="AK53">
            <v>179.14</v>
          </cell>
          <cell r="AL53">
            <v>0</v>
          </cell>
          <cell r="AM53">
            <v>179.14</v>
          </cell>
        </row>
        <row r="54">
          <cell r="B54" t="str">
            <v>李佳</v>
          </cell>
          <cell r="C54" t="str">
            <v>居民身份证</v>
          </cell>
          <cell r="D54" t="str">
            <v>51372219970326568X</v>
          </cell>
          <cell r="E54" t="str">
            <v>2024-05-01</v>
          </cell>
          <cell r="F54" t="str">
            <v>2024-05-31</v>
          </cell>
          <cell r="G54" t="str">
            <v>正常工资薪金</v>
          </cell>
          <cell r="H54">
            <v>912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15220.04</v>
          </cell>
          <cell r="T54">
            <v>0</v>
          </cell>
          <cell r="U54">
            <v>15000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220.04</v>
          </cell>
          <cell r="AG54">
            <v>0.03</v>
          </cell>
          <cell r="AH54">
            <v>0</v>
          </cell>
          <cell r="AI54">
            <v>6.6</v>
          </cell>
          <cell r="AJ54">
            <v>0</v>
          </cell>
          <cell r="AK54">
            <v>6.6</v>
          </cell>
          <cell r="AL54">
            <v>129.24</v>
          </cell>
          <cell r="AM54">
            <v>0</v>
          </cell>
        </row>
        <row r="55">
          <cell r="B55" t="str">
            <v>张晓龙</v>
          </cell>
          <cell r="C55" t="str">
            <v>居民身份证</v>
          </cell>
          <cell r="D55" t="str">
            <v>510104199302220036</v>
          </cell>
          <cell r="E55" t="str">
            <v>2024-05-01</v>
          </cell>
          <cell r="F55" t="str">
            <v>2024-05-31</v>
          </cell>
          <cell r="G55" t="str">
            <v>正常工资薪金</v>
          </cell>
          <cell r="H55">
            <v>9320.11</v>
          </cell>
          <cell r="I55">
            <v>0</v>
          </cell>
          <cell r="J55">
            <v>0</v>
          </cell>
          <cell r="K55">
            <v>339.68</v>
          </cell>
          <cell r="L55">
            <v>84.92</v>
          </cell>
          <cell r="M55">
            <v>16.98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33492.66</v>
          </cell>
          <cell r="T55">
            <v>0</v>
          </cell>
          <cell r="U55">
            <v>25000</v>
          </cell>
          <cell r="V55">
            <v>883.16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7609.5</v>
          </cell>
          <cell r="AG55">
            <v>0.03</v>
          </cell>
          <cell r="AH55">
            <v>0</v>
          </cell>
          <cell r="AI55">
            <v>228.29</v>
          </cell>
          <cell r="AJ55">
            <v>0</v>
          </cell>
          <cell r="AK55">
            <v>228.29</v>
          </cell>
          <cell r="AL55">
            <v>111.93</v>
          </cell>
          <cell r="AM55">
            <v>116.36</v>
          </cell>
        </row>
        <row r="56">
          <cell r="B56" t="str">
            <v>王太</v>
          </cell>
          <cell r="C56" t="str">
            <v>居民身份证</v>
          </cell>
          <cell r="D56" t="str">
            <v>513221199807151317</v>
          </cell>
          <cell r="E56" t="str">
            <v>2024-05-01</v>
          </cell>
          <cell r="F56" t="str">
            <v>2024-05-31</v>
          </cell>
          <cell r="G56" t="str">
            <v>正常工资薪金</v>
          </cell>
          <cell r="H56">
            <v>5042.46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5042.46</v>
          </cell>
          <cell r="T56">
            <v>0</v>
          </cell>
          <cell r="U56">
            <v>5000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42.46</v>
          </cell>
          <cell r="AG56">
            <v>0.03</v>
          </cell>
          <cell r="AH56">
            <v>0</v>
          </cell>
          <cell r="AI56">
            <v>1.27</v>
          </cell>
          <cell r="AJ56">
            <v>0</v>
          </cell>
          <cell r="AK56">
            <v>1.27</v>
          </cell>
          <cell r="AL56">
            <v>0</v>
          </cell>
          <cell r="AM56">
            <v>1.27</v>
          </cell>
        </row>
        <row r="57">
          <cell r="B57" t="str">
            <v>景玉霞</v>
          </cell>
          <cell r="C57" t="str">
            <v>居民身份证</v>
          </cell>
          <cell r="D57" t="str">
            <v>513721199510117684</v>
          </cell>
          <cell r="E57" t="str">
            <v>2024-05-01</v>
          </cell>
          <cell r="F57" t="str">
            <v>2024-05-31</v>
          </cell>
          <cell r="G57" t="str">
            <v>正常工资薪金</v>
          </cell>
          <cell r="H57">
            <v>8396.99</v>
          </cell>
          <cell r="I57">
            <v>0</v>
          </cell>
          <cell r="J57">
            <v>0</v>
          </cell>
          <cell r="K57">
            <v>339.68</v>
          </cell>
          <cell r="L57">
            <v>84.92</v>
          </cell>
          <cell r="M57">
            <v>16.98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33437.64</v>
          </cell>
          <cell r="T57">
            <v>0</v>
          </cell>
          <cell r="U57">
            <v>25000</v>
          </cell>
          <cell r="V57">
            <v>883.16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7554.48</v>
          </cell>
          <cell r="AG57">
            <v>0.03</v>
          </cell>
          <cell r="AH57">
            <v>0</v>
          </cell>
          <cell r="AI57">
            <v>226.63</v>
          </cell>
          <cell r="AJ57">
            <v>0</v>
          </cell>
          <cell r="AK57">
            <v>226.63</v>
          </cell>
          <cell r="AL57">
            <v>137.97</v>
          </cell>
          <cell r="AM57">
            <v>88.66</v>
          </cell>
        </row>
        <row r="58">
          <cell r="B58" t="str">
            <v>白宏宇</v>
          </cell>
          <cell r="C58" t="str">
            <v>居民身份证</v>
          </cell>
          <cell r="D58" t="str">
            <v>51062319990523111X</v>
          </cell>
          <cell r="E58" t="str">
            <v>2024-05-01</v>
          </cell>
          <cell r="F58" t="str">
            <v>2024-05-31</v>
          </cell>
          <cell r="G58" t="str">
            <v>正常工资薪金</v>
          </cell>
          <cell r="H58">
            <v>936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936</v>
          </cell>
          <cell r="T58">
            <v>0</v>
          </cell>
          <cell r="U58">
            <v>5000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0.03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B59" t="str">
            <v>徐婷</v>
          </cell>
          <cell r="C59" t="str">
            <v>居民身份证</v>
          </cell>
          <cell r="D59" t="str">
            <v>511126200111114323</v>
          </cell>
          <cell r="E59" t="str">
            <v>2024-05-01</v>
          </cell>
          <cell r="F59" t="str">
            <v>2024-05-31</v>
          </cell>
          <cell r="G59" t="str">
            <v>正常工资薪金</v>
          </cell>
          <cell r="H59">
            <v>1197.45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1197.45</v>
          </cell>
          <cell r="T59">
            <v>0</v>
          </cell>
          <cell r="U59">
            <v>5000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0.03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B60" t="str">
            <v>陈亮</v>
          </cell>
          <cell r="C60" t="str">
            <v>居民身份证</v>
          </cell>
          <cell r="D60" t="str">
            <v>513902200005226879</v>
          </cell>
          <cell r="E60" t="str">
            <v>2024-05-01</v>
          </cell>
          <cell r="F60" t="str">
            <v>2024-05-31</v>
          </cell>
          <cell r="G60" t="str">
            <v>正常工资薪金</v>
          </cell>
          <cell r="H60">
            <v>8813.8</v>
          </cell>
          <cell r="I60">
            <v>0</v>
          </cell>
          <cell r="J60">
            <v>0</v>
          </cell>
          <cell r="K60">
            <v>84.92</v>
          </cell>
          <cell r="L60">
            <v>356.66</v>
          </cell>
          <cell r="M60">
            <v>16.98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50534.7</v>
          </cell>
          <cell r="T60">
            <v>0</v>
          </cell>
          <cell r="U60">
            <v>25000</v>
          </cell>
          <cell r="V60">
            <v>2224.88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23309.82</v>
          </cell>
          <cell r="AG60">
            <v>0.03</v>
          </cell>
          <cell r="AH60">
            <v>0</v>
          </cell>
          <cell r="AI60">
            <v>699.29</v>
          </cell>
          <cell r="AJ60">
            <v>0</v>
          </cell>
          <cell r="AK60">
            <v>699.29</v>
          </cell>
          <cell r="AL60">
            <v>598.64</v>
          </cell>
          <cell r="AM60">
            <v>100.65</v>
          </cell>
        </row>
        <row r="61">
          <cell r="B61" t="str">
            <v>李娟</v>
          </cell>
          <cell r="C61" t="str">
            <v>居民身份证</v>
          </cell>
          <cell r="D61" t="str">
            <v>510923198510242123</v>
          </cell>
          <cell r="E61" t="str">
            <v>2024-05-01</v>
          </cell>
          <cell r="F61" t="str">
            <v>2024-05-31</v>
          </cell>
          <cell r="G61" t="str">
            <v>正常工资薪金</v>
          </cell>
          <cell r="H61">
            <v>6092.78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6092.78</v>
          </cell>
          <cell r="T61">
            <v>0</v>
          </cell>
          <cell r="U61">
            <v>5000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1092.78</v>
          </cell>
          <cell r="AG61">
            <v>0.03</v>
          </cell>
          <cell r="AH61">
            <v>0</v>
          </cell>
          <cell r="AI61">
            <v>32.78</v>
          </cell>
          <cell r="AJ61">
            <v>0</v>
          </cell>
          <cell r="AK61">
            <v>32.78</v>
          </cell>
          <cell r="AL61">
            <v>0</v>
          </cell>
          <cell r="AM61">
            <v>32.78</v>
          </cell>
        </row>
        <row r="62">
          <cell r="B62" t="str">
            <v>李亚东</v>
          </cell>
          <cell r="C62" t="str">
            <v>居民身份证</v>
          </cell>
          <cell r="D62" t="str">
            <v>500382200106282153</v>
          </cell>
          <cell r="E62" t="str">
            <v>2024-05-01</v>
          </cell>
          <cell r="F62" t="str">
            <v>2024-05-31</v>
          </cell>
          <cell r="G62" t="str">
            <v>正常工资薪金</v>
          </cell>
          <cell r="H62">
            <v>9618.93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11018.93</v>
          </cell>
          <cell r="T62">
            <v>0</v>
          </cell>
          <cell r="U62">
            <v>10000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1018.93</v>
          </cell>
          <cell r="AG62">
            <v>0.03</v>
          </cell>
          <cell r="AH62">
            <v>0</v>
          </cell>
          <cell r="AI62">
            <v>30.57</v>
          </cell>
          <cell r="AJ62">
            <v>0</v>
          </cell>
          <cell r="AK62">
            <v>30.57</v>
          </cell>
          <cell r="AL62">
            <v>0</v>
          </cell>
          <cell r="AM62">
            <v>30.57</v>
          </cell>
        </row>
        <row r="63">
          <cell r="B63" t="str">
            <v>袁鹏洲</v>
          </cell>
          <cell r="C63" t="str">
            <v>居民身份证</v>
          </cell>
          <cell r="D63" t="str">
            <v>500234199812124070</v>
          </cell>
          <cell r="E63" t="str">
            <v>2024-05-01</v>
          </cell>
          <cell r="F63" t="str">
            <v>2024-05-31</v>
          </cell>
          <cell r="G63" t="str">
            <v>正常工资薪金</v>
          </cell>
          <cell r="H63">
            <v>4800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22500</v>
          </cell>
          <cell r="T63">
            <v>0</v>
          </cell>
          <cell r="U63">
            <v>25000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0.03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B64" t="str">
            <v>廖雪琴</v>
          </cell>
          <cell r="C64" t="str">
            <v>居民身份证</v>
          </cell>
          <cell r="D64" t="str">
            <v>51392220000222542X</v>
          </cell>
          <cell r="E64" t="str">
            <v>2024-05-01</v>
          </cell>
          <cell r="F64" t="str">
            <v>2024-05-31</v>
          </cell>
          <cell r="G64" t="str">
            <v>正常工资薪金</v>
          </cell>
          <cell r="H64">
            <v>5260</v>
          </cell>
          <cell r="I64">
            <v>0</v>
          </cell>
          <cell r="J64">
            <v>0</v>
          </cell>
          <cell r="K64">
            <v>339.68</v>
          </cell>
          <cell r="L64">
            <v>84.92</v>
          </cell>
          <cell r="M64">
            <v>16.98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24448.69</v>
          </cell>
          <cell r="T64">
            <v>0</v>
          </cell>
          <cell r="U64">
            <v>25000</v>
          </cell>
          <cell r="V64">
            <v>2207.9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0.03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B65" t="str">
            <v>王彦君</v>
          </cell>
          <cell r="C65" t="str">
            <v>居民身份证</v>
          </cell>
          <cell r="D65" t="str">
            <v>510822200207196716</v>
          </cell>
          <cell r="E65" t="str">
            <v>2024-05-01</v>
          </cell>
          <cell r="F65" t="str">
            <v>2024-05-31</v>
          </cell>
          <cell r="G65" t="str">
            <v>正常工资薪金</v>
          </cell>
          <cell r="H65">
            <v>4241.37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4241.37</v>
          </cell>
          <cell r="T65">
            <v>0</v>
          </cell>
          <cell r="U65">
            <v>5000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0.03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B66" t="str">
            <v>陈星星</v>
          </cell>
          <cell r="C66" t="str">
            <v>居民身份证</v>
          </cell>
          <cell r="D66" t="str">
            <v>513425199201153429</v>
          </cell>
          <cell r="E66" t="str">
            <v>2024-05-01</v>
          </cell>
          <cell r="F66" t="str">
            <v>2024-05-31</v>
          </cell>
          <cell r="G66" t="str">
            <v>正常工资薪金</v>
          </cell>
          <cell r="H66">
            <v>9286.13</v>
          </cell>
          <cell r="I66">
            <v>0</v>
          </cell>
          <cell r="J66">
            <v>0</v>
          </cell>
          <cell r="K66">
            <v>339.68</v>
          </cell>
          <cell r="L66">
            <v>84.92</v>
          </cell>
          <cell r="M66">
            <v>16.98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24612.36</v>
          </cell>
          <cell r="T66">
            <v>0</v>
          </cell>
          <cell r="U66">
            <v>20000</v>
          </cell>
          <cell r="V66">
            <v>883.16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3729.2</v>
          </cell>
          <cell r="AG66">
            <v>0.03</v>
          </cell>
          <cell r="AH66">
            <v>0</v>
          </cell>
          <cell r="AI66">
            <v>111.88</v>
          </cell>
          <cell r="AJ66">
            <v>0</v>
          </cell>
          <cell r="AK66">
            <v>111.88</v>
          </cell>
          <cell r="AL66">
            <v>0</v>
          </cell>
          <cell r="AM66">
            <v>111.88</v>
          </cell>
        </row>
        <row r="67">
          <cell r="B67" t="str">
            <v>谭尧</v>
          </cell>
          <cell r="C67" t="str">
            <v>居民身份证</v>
          </cell>
          <cell r="D67" t="str">
            <v>511322199604151317</v>
          </cell>
          <cell r="E67" t="str">
            <v>2024-05-01</v>
          </cell>
          <cell r="F67" t="str">
            <v>2024-05-31</v>
          </cell>
          <cell r="G67" t="str">
            <v>正常工资薪金</v>
          </cell>
          <cell r="H67">
            <v>18900</v>
          </cell>
          <cell r="I67">
            <v>0</v>
          </cell>
          <cell r="J67">
            <v>0</v>
          </cell>
          <cell r="K67">
            <v>339.68</v>
          </cell>
          <cell r="L67">
            <v>84.92</v>
          </cell>
          <cell r="M67">
            <v>16.98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72924</v>
          </cell>
          <cell r="T67">
            <v>0</v>
          </cell>
          <cell r="U67">
            <v>25000</v>
          </cell>
          <cell r="V67">
            <v>2207.9</v>
          </cell>
          <cell r="W67">
            <v>0</v>
          </cell>
          <cell r="X67">
            <v>0</v>
          </cell>
          <cell r="Y67">
            <v>5000</v>
          </cell>
          <cell r="Z67">
            <v>0</v>
          </cell>
          <cell r="AA67">
            <v>0</v>
          </cell>
          <cell r="AB67">
            <v>4000</v>
          </cell>
          <cell r="AC67">
            <v>0</v>
          </cell>
          <cell r="AD67">
            <v>0</v>
          </cell>
          <cell r="AE67">
            <v>0</v>
          </cell>
          <cell r="AF67">
            <v>36716.1</v>
          </cell>
          <cell r="AG67">
            <v>0.1</v>
          </cell>
          <cell r="AH67">
            <v>2520</v>
          </cell>
          <cell r="AI67">
            <v>1151.61</v>
          </cell>
          <cell r="AJ67">
            <v>0</v>
          </cell>
          <cell r="AK67">
            <v>1151.61</v>
          </cell>
          <cell r="AL67">
            <v>787.73</v>
          </cell>
          <cell r="AM67">
            <v>363.88</v>
          </cell>
        </row>
        <row r="68">
          <cell r="B68" t="str">
            <v>白宗鹏</v>
          </cell>
          <cell r="C68" t="str">
            <v>居民身份证</v>
          </cell>
          <cell r="D68" t="str">
            <v>513423199812123111</v>
          </cell>
          <cell r="E68" t="str">
            <v>2024-05-01</v>
          </cell>
          <cell r="F68" t="str">
            <v>2024-05-31</v>
          </cell>
          <cell r="G68" t="str">
            <v>正常工资薪金</v>
          </cell>
          <cell r="H68">
            <v>887.69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887.69</v>
          </cell>
          <cell r="T68">
            <v>0</v>
          </cell>
          <cell r="U68">
            <v>5000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0.03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B69" t="str">
            <v>袁观玲</v>
          </cell>
          <cell r="C69" t="str">
            <v>居民身份证</v>
          </cell>
          <cell r="D69" t="str">
            <v>51102319910714188X</v>
          </cell>
          <cell r="E69" t="str">
            <v>2024-05-01</v>
          </cell>
          <cell r="F69" t="str">
            <v>2024-05-31</v>
          </cell>
          <cell r="G69" t="str">
            <v>正常工资薪金</v>
          </cell>
          <cell r="H69">
            <v>13749.37</v>
          </cell>
          <cell r="I69">
            <v>0</v>
          </cell>
          <cell r="J69">
            <v>0</v>
          </cell>
          <cell r="K69">
            <v>339.68</v>
          </cell>
          <cell r="L69">
            <v>84.92</v>
          </cell>
          <cell r="M69">
            <v>16.98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45391.99</v>
          </cell>
          <cell r="T69">
            <v>0</v>
          </cell>
          <cell r="U69">
            <v>25000</v>
          </cell>
          <cell r="V69">
            <v>2207.9</v>
          </cell>
          <cell r="W69">
            <v>10000</v>
          </cell>
          <cell r="X69">
            <v>0</v>
          </cell>
          <cell r="Y69">
            <v>5000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3184.09</v>
          </cell>
          <cell r="AG69">
            <v>0.03</v>
          </cell>
          <cell r="AH69">
            <v>0</v>
          </cell>
          <cell r="AI69">
            <v>95.52</v>
          </cell>
          <cell r="AJ69">
            <v>0</v>
          </cell>
          <cell r="AK69">
            <v>95.52</v>
          </cell>
          <cell r="AL69">
            <v>0</v>
          </cell>
          <cell r="AM69">
            <v>95.52</v>
          </cell>
        </row>
        <row r="70">
          <cell r="B70" t="str">
            <v>华凤</v>
          </cell>
          <cell r="C70" t="str">
            <v>居民身份证</v>
          </cell>
          <cell r="D70" t="str">
            <v>510812200012136622</v>
          </cell>
          <cell r="E70" t="str">
            <v>2024-05-01</v>
          </cell>
          <cell r="F70" t="str">
            <v>2024-05-31</v>
          </cell>
          <cell r="G70" t="str">
            <v>正常工资薪金</v>
          </cell>
          <cell r="H70">
            <v>8832.31</v>
          </cell>
          <cell r="I70">
            <v>0</v>
          </cell>
          <cell r="J70">
            <v>0</v>
          </cell>
          <cell r="K70">
            <v>84.92</v>
          </cell>
          <cell r="L70">
            <v>356.66</v>
          </cell>
          <cell r="M70">
            <v>16.98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41377.44</v>
          </cell>
          <cell r="T70">
            <v>0</v>
          </cell>
          <cell r="U70">
            <v>25000</v>
          </cell>
          <cell r="V70">
            <v>1783.3</v>
          </cell>
          <cell r="W70">
            <v>0</v>
          </cell>
          <cell r="X70">
            <v>2000</v>
          </cell>
          <cell r="Y70">
            <v>0</v>
          </cell>
          <cell r="Z70">
            <v>7500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5094.14</v>
          </cell>
          <cell r="AG70">
            <v>0.03</v>
          </cell>
          <cell r="AH70">
            <v>0</v>
          </cell>
          <cell r="AI70">
            <v>152.82</v>
          </cell>
          <cell r="AJ70">
            <v>0</v>
          </cell>
          <cell r="AK70">
            <v>152.82</v>
          </cell>
          <cell r="AL70">
            <v>137.73</v>
          </cell>
          <cell r="AM70">
            <v>15.09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4"/>
  <sheetViews>
    <sheetView tabSelected="1" workbookViewId="0">
      <selection activeCell="D14" sqref="D14"/>
    </sheetView>
  </sheetViews>
  <sheetFormatPr defaultColWidth="9" defaultRowHeight="13.5" outlineLevelCol="6"/>
  <cols>
    <col min="1" max="1" width="29.25" customWidth="1"/>
    <col min="2" max="2" width="25" customWidth="1"/>
    <col min="3" max="3" width="12.625"/>
    <col min="4" max="4" width="9.375"/>
    <col min="6" max="7" width="21" customWidth="1"/>
  </cols>
  <sheetData>
    <row r="1" s="73" customFormat="1" ht="30" customHeight="1" spans="1:7">
      <c r="A1" s="240" t="s">
        <v>0</v>
      </c>
      <c r="B1" s="240"/>
      <c r="C1" s="240"/>
      <c r="F1" s="240" t="s">
        <v>1</v>
      </c>
      <c r="G1" s="240"/>
    </row>
    <row r="2" ht="27" customHeight="1" spans="1:7">
      <c r="A2" s="86" t="s">
        <v>2</v>
      </c>
      <c r="B2" s="86" t="s">
        <v>3</v>
      </c>
      <c r="C2" s="86" t="s">
        <v>4</v>
      </c>
      <c r="F2" s="86" t="s">
        <v>2</v>
      </c>
      <c r="G2" s="86" t="s">
        <v>3</v>
      </c>
    </row>
    <row r="3" ht="24" customHeight="1" spans="1:7">
      <c r="A3" s="4" t="s">
        <v>5</v>
      </c>
      <c r="B3" s="65">
        <f>业务部工资表!K24</f>
        <v>57396</v>
      </c>
      <c r="C3" s="35"/>
      <c r="F3" s="4" t="s">
        <v>6</v>
      </c>
      <c r="G3" s="4">
        <f>SUMIF(日常支出!K:K,F3,日常支出!I:I)</f>
        <v>40</v>
      </c>
    </row>
    <row r="4" ht="24" customHeight="1" spans="1:7">
      <c r="A4" s="4" t="s">
        <v>7</v>
      </c>
      <c r="B4" s="65">
        <f ca="1">员工绩效!X22-员工绩效!V22-员工绩效!R22+业务部工资表!R4</f>
        <v>112071.4443</v>
      </c>
      <c r="C4" s="35"/>
      <c r="F4" s="4" t="s">
        <v>8</v>
      </c>
      <c r="G4" s="4">
        <f>SUMIF(日常支出!K:K,F4,日常支出!I:I)</f>
        <v>4000</v>
      </c>
    </row>
    <row r="5" ht="24" customHeight="1" spans="1:7">
      <c r="A5" s="4" t="s">
        <v>9</v>
      </c>
      <c r="B5" s="65">
        <f>组长绩效新!G3+组长绩效新!G7+组长绩效新!F17+组长绩效新!N3+组长绩效新!P11</f>
        <v>17836.139378</v>
      </c>
      <c r="C5" s="35"/>
      <c r="F5" s="4" t="s">
        <v>10</v>
      </c>
      <c r="G5" s="4">
        <f>人事工资表!K7</f>
        <v>3500</v>
      </c>
    </row>
    <row r="6" ht="24" customHeight="1" spans="1:7">
      <c r="A6" s="4" t="s">
        <v>11</v>
      </c>
      <c r="B6" s="4">
        <f ca="1">业务部工资表!Q24</f>
        <v>4300</v>
      </c>
      <c r="C6" s="35"/>
      <c r="F6" s="4" t="s">
        <v>12</v>
      </c>
      <c r="G6" s="4">
        <f>人事工资表!S7</f>
        <v>400</v>
      </c>
    </row>
    <row r="7" ht="24" customHeight="1" spans="1:7">
      <c r="A7" s="4" t="s">
        <v>13</v>
      </c>
      <c r="B7" s="65">
        <f>SUMIF(日常支出!E:E,A7,日常支出!C:C)</f>
        <v>14980</v>
      </c>
      <c r="C7" s="35"/>
      <c r="F7" s="4" t="s">
        <v>14</v>
      </c>
      <c r="G7" s="4">
        <f>SUMIF(日常支出!K:K,F7,日常支出!I:I)</f>
        <v>9250</v>
      </c>
    </row>
    <row r="8" ht="24" customHeight="1" spans="1:7">
      <c r="A8" s="4" t="s">
        <v>15</v>
      </c>
      <c r="B8" s="4">
        <f>SUM(日常支出!C4:C7)</f>
        <v>4800</v>
      </c>
      <c r="C8" s="35"/>
      <c r="F8" s="4" t="s">
        <v>16</v>
      </c>
      <c r="G8" s="4">
        <f>日常支出!I8</f>
        <v>299.55</v>
      </c>
    </row>
    <row r="9" ht="24" customHeight="1" spans="1:7">
      <c r="A9" s="4" t="s">
        <v>17</v>
      </c>
      <c r="B9" s="4">
        <f>SUMIF(日常支出!E:E,A9,日常支出!C:C)</f>
        <v>724.22</v>
      </c>
      <c r="C9" s="35"/>
      <c r="F9" s="79" t="s">
        <v>18</v>
      </c>
      <c r="G9" s="80">
        <f>SUM(G3:G7)</f>
        <v>17190</v>
      </c>
    </row>
    <row r="10" ht="24" customHeight="1" spans="1:3">
      <c r="A10" s="4" t="s">
        <v>19</v>
      </c>
      <c r="B10" s="4">
        <f>SUMIF(日常支出!E:E,A10,日常支出!C:C)</f>
        <v>8449</v>
      </c>
      <c r="C10" s="35"/>
    </row>
    <row r="11" ht="24" customHeight="1" spans="1:3">
      <c r="A11" s="4" t="s">
        <v>20</v>
      </c>
      <c r="B11" s="61">
        <f>内推!G7</f>
        <v>1700</v>
      </c>
      <c r="C11" s="35"/>
    </row>
    <row r="12" ht="24" customHeight="1" spans="1:3">
      <c r="A12" s="4" t="s">
        <v>21</v>
      </c>
      <c r="B12" s="4">
        <f>社保医保!C16+社保医保!H17+社保医保!J17</f>
        <v>13568.5</v>
      </c>
      <c r="C12" s="66"/>
    </row>
    <row r="13" ht="24" customHeight="1" spans="1:3">
      <c r="A13" s="35"/>
      <c r="B13" s="35"/>
      <c r="C13" s="35"/>
    </row>
    <row r="14" ht="24" customHeight="1" spans="1:3">
      <c r="A14" s="79" t="s">
        <v>18</v>
      </c>
      <c r="B14" s="80">
        <f ca="1">SUM(B3:B12)</f>
        <v>235825.303678</v>
      </c>
      <c r="C14" s="35"/>
    </row>
  </sheetData>
  <mergeCells count="2">
    <mergeCell ref="A1:C1"/>
    <mergeCell ref="F1:G1"/>
  </mergeCells>
  <pageMargins left="0.75" right="0.75" top="1" bottom="1" header="0.5" footer="0.5"/>
  <pageSetup paperSize="9" orientation="portrait"/>
  <headerFooter/>
  <ignoredErrors>
    <ignoredError sqref="B8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L7"/>
  <sheetViews>
    <sheetView workbookViewId="0">
      <selection activeCell="I14" sqref="I14"/>
    </sheetView>
  </sheetViews>
  <sheetFormatPr defaultColWidth="9" defaultRowHeight="13.5" outlineLevelRow="6"/>
  <cols>
    <col min="1" max="1" width="10.375" customWidth="1"/>
    <col min="2" max="2" width="15.125" customWidth="1"/>
    <col min="6" max="6" width="13.75" customWidth="1"/>
    <col min="9" max="9" width="10.375" customWidth="1"/>
    <col min="10" max="10" width="13.75" customWidth="1"/>
    <col min="11" max="11" width="11.5" customWidth="1"/>
    <col min="12" max="12" width="12.625" customWidth="1"/>
  </cols>
  <sheetData>
    <row r="1" ht="30" customHeight="1" spans="1:12">
      <c r="A1" s="1" t="s">
        <v>166</v>
      </c>
      <c r="B1" s="1" t="s">
        <v>2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41</v>
      </c>
      <c r="H1" s="1" t="s">
        <v>202</v>
      </c>
      <c r="I1" s="1" t="s">
        <v>203</v>
      </c>
      <c r="J1" s="1" t="s">
        <v>204</v>
      </c>
      <c r="K1" s="1" t="s">
        <v>205</v>
      </c>
      <c r="L1" s="1" t="s">
        <v>167</v>
      </c>
    </row>
    <row r="2" ht="30" customHeight="1" spans="1:12">
      <c r="A2" s="34">
        <v>45420</v>
      </c>
      <c r="B2" s="7" t="s">
        <v>170</v>
      </c>
      <c r="C2" s="7">
        <v>900</v>
      </c>
      <c r="D2" s="35"/>
      <c r="E2" s="36" t="s">
        <v>64</v>
      </c>
      <c r="F2" s="35"/>
      <c r="G2" s="37"/>
      <c r="H2" s="37"/>
      <c r="I2" s="39"/>
      <c r="J2" s="37"/>
      <c r="K2" s="39"/>
      <c r="L2" s="7" t="s">
        <v>114</v>
      </c>
    </row>
    <row r="3" ht="30" customHeight="1" spans="1:12">
      <c r="A3" s="34">
        <v>45420</v>
      </c>
      <c r="B3" s="7" t="s">
        <v>172</v>
      </c>
      <c r="C3" s="7">
        <v>1500</v>
      </c>
      <c r="D3" s="35"/>
      <c r="E3" s="36" t="s">
        <v>64</v>
      </c>
      <c r="F3" s="35"/>
      <c r="G3" s="37"/>
      <c r="H3" s="37"/>
      <c r="I3" s="39"/>
      <c r="J3" s="37"/>
      <c r="K3" s="39"/>
      <c r="L3" s="7" t="s">
        <v>114</v>
      </c>
    </row>
    <row r="4" ht="30" customHeight="1" spans="1:12">
      <c r="A4" s="34">
        <v>45420</v>
      </c>
      <c r="B4" s="38" t="s">
        <v>174</v>
      </c>
      <c r="C4" s="38">
        <v>1500</v>
      </c>
      <c r="D4" s="35"/>
      <c r="E4" s="36" t="s">
        <v>64</v>
      </c>
      <c r="F4" s="35"/>
      <c r="G4" s="37"/>
      <c r="H4" s="37"/>
      <c r="I4" s="39"/>
      <c r="J4" s="37"/>
      <c r="K4" s="39"/>
      <c r="L4" s="7" t="s">
        <v>114</v>
      </c>
    </row>
    <row r="5" ht="30" customHeight="1" spans="1:12">
      <c r="A5" s="34">
        <v>45420</v>
      </c>
      <c r="B5" s="7" t="s">
        <v>177</v>
      </c>
      <c r="C5" s="7">
        <v>900</v>
      </c>
      <c r="D5" s="35"/>
      <c r="E5" s="36" t="s">
        <v>64</v>
      </c>
      <c r="F5" s="35"/>
      <c r="G5" s="37"/>
      <c r="H5" s="37"/>
      <c r="I5" s="39"/>
      <c r="J5" s="37"/>
      <c r="K5" s="39"/>
      <c r="L5" s="7" t="s">
        <v>114</v>
      </c>
    </row>
    <row r="6" ht="30" customHeight="1" spans="1:12">
      <c r="A6" s="39"/>
      <c r="B6" s="37"/>
      <c r="C6" s="37"/>
      <c r="D6" s="37"/>
      <c r="E6" s="37"/>
      <c r="F6" s="37"/>
      <c r="G6" s="37"/>
      <c r="H6" s="37"/>
      <c r="I6" s="39"/>
      <c r="J6" s="37"/>
      <c r="K6" s="39"/>
      <c r="L6" s="27"/>
    </row>
    <row r="7" ht="30" customHeight="1" spans="1:12">
      <c r="A7" s="40" t="s">
        <v>108</v>
      </c>
      <c r="B7" s="41"/>
      <c r="C7" s="42">
        <f>SUM(C2:C6)</f>
        <v>4800</v>
      </c>
      <c r="D7" s="43"/>
      <c r="E7" s="43"/>
      <c r="F7" s="43"/>
      <c r="G7" s="43"/>
      <c r="H7" s="43"/>
      <c r="I7" s="43"/>
      <c r="J7" s="43"/>
      <c r="K7" s="43"/>
      <c r="L7" s="44"/>
    </row>
  </sheetData>
  <mergeCells count="2">
    <mergeCell ref="A7:B7"/>
    <mergeCell ref="C7:L7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zoomScale="85" zoomScaleNormal="85" workbookViewId="0">
      <pane xSplit="2" ySplit="4" topLeftCell="C5" activePane="bottomRight" state="frozen"/>
      <selection/>
      <selection pane="topRight"/>
      <selection pane="bottomLeft"/>
      <selection pane="bottomRight" activeCell="J26" sqref="J26"/>
    </sheetView>
  </sheetViews>
  <sheetFormatPr defaultColWidth="9" defaultRowHeight="13.5"/>
  <cols>
    <col min="1" max="1" width="3.5" customWidth="1"/>
    <col min="3" max="3" width="12.75" customWidth="1"/>
    <col min="4" max="5" width="6.625" customWidth="1"/>
    <col min="6" max="6" width="8.825" customWidth="1"/>
    <col min="7" max="12" width="6.625" customWidth="1"/>
    <col min="13" max="13" width="6.9" customWidth="1"/>
    <col min="14" max="39" width="6.375" customWidth="1"/>
    <col min="40" max="40" width="7.2" customWidth="1"/>
    <col min="41" max="43" width="6.375" customWidth="1"/>
    <col min="44" max="44" width="6.475" customWidth="1"/>
  </cols>
  <sheetData>
    <row r="1" s="19" customFormat="1" ht="25.5" spans="1:44">
      <c r="A1" s="20" t="s">
        <v>206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</row>
    <row r="2" s="19" customFormat="1" ht="14" customHeight="1" spans="1:44">
      <c r="A2" s="22"/>
      <c r="B2" s="23" t="s">
        <v>207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 t="s">
        <v>208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</row>
    <row r="3" s="19" customFormat="1" ht="15" customHeight="1" spans="1:44">
      <c r="A3" s="24" t="s">
        <v>209</v>
      </c>
      <c r="B3" s="24" t="s">
        <v>25</v>
      </c>
      <c r="C3" s="24" t="s">
        <v>210</v>
      </c>
      <c r="D3" s="25" t="s">
        <v>211</v>
      </c>
      <c r="E3" s="25" t="s">
        <v>212</v>
      </c>
      <c r="F3" s="26" t="s">
        <v>213</v>
      </c>
      <c r="G3" s="26" t="s">
        <v>214</v>
      </c>
      <c r="H3" s="25" t="s">
        <v>215</v>
      </c>
      <c r="I3" s="26" t="s">
        <v>216</v>
      </c>
      <c r="J3" s="25" t="s">
        <v>217</v>
      </c>
      <c r="K3" s="26" t="s">
        <v>218</v>
      </c>
      <c r="L3" s="25" t="s">
        <v>219</v>
      </c>
      <c r="M3" s="25" t="s">
        <v>220</v>
      </c>
      <c r="N3" s="24">
        <v>1</v>
      </c>
      <c r="O3" s="24">
        <v>2</v>
      </c>
      <c r="P3" s="24">
        <v>3</v>
      </c>
      <c r="Q3" s="24">
        <v>4</v>
      </c>
      <c r="R3" s="24">
        <v>5</v>
      </c>
      <c r="S3" s="24">
        <v>6</v>
      </c>
      <c r="T3" s="24">
        <v>7</v>
      </c>
      <c r="U3" s="24">
        <v>8</v>
      </c>
      <c r="V3" s="24">
        <v>9</v>
      </c>
      <c r="W3" s="24">
        <v>10</v>
      </c>
      <c r="X3" s="30">
        <v>11</v>
      </c>
      <c r="Y3" s="24">
        <v>12</v>
      </c>
      <c r="Z3" s="24">
        <v>13</v>
      </c>
      <c r="AA3" s="31">
        <v>14</v>
      </c>
      <c r="AB3" s="24">
        <v>15</v>
      </c>
      <c r="AC3" s="24">
        <v>16</v>
      </c>
      <c r="AD3" s="24">
        <v>17</v>
      </c>
      <c r="AE3" s="24">
        <v>18</v>
      </c>
      <c r="AF3" s="24">
        <v>19</v>
      </c>
      <c r="AG3" s="24">
        <v>20</v>
      </c>
      <c r="AH3" s="24">
        <v>21</v>
      </c>
      <c r="AI3" s="24">
        <v>22</v>
      </c>
      <c r="AJ3" s="24">
        <v>23</v>
      </c>
      <c r="AK3" s="24">
        <v>24</v>
      </c>
      <c r="AL3" s="24">
        <v>25</v>
      </c>
      <c r="AM3" s="24">
        <v>26</v>
      </c>
      <c r="AN3" s="24">
        <v>27</v>
      </c>
      <c r="AO3" s="24">
        <v>28</v>
      </c>
      <c r="AP3" s="24">
        <v>29</v>
      </c>
      <c r="AQ3" s="24">
        <v>30</v>
      </c>
      <c r="AR3" s="24">
        <v>31</v>
      </c>
    </row>
    <row r="4" s="19" customFormat="1" ht="15" customHeight="1" spans="1:44">
      <c r="A4" s="27"/>
      <c r="B4" s="27"/>
      <c r="C4" s="27"/>
      <c r="D4" s="28"/>
      <c r="E4" s="28"/>
      <c r="F4" s="25"/>
      <c r="G4" s="25"/>
      <c r="H4" s="28"/>
      <c r="I4" s="25"/>
      <c r="J4" s="28"/>
      <c r="K4" s="25"/>
      <c r="L4" s="28"/>
      <c r="M4" s="28"/>
      <c r="N4" s="27" t="s">
        <v>221</v>
      </c>
      <c r="O4" s="27" t="s">
        <v>222</v>
      </c>
      <c r="P4" s="27" t="s">
        <v>223</v>
      </c>
      <c r="Q4" s="27" t="s">
        <v>224</v>
      </c>
      <c r="R4" s="27" t="s">
        <v>225</v>
      </c>
      <c r="S4" s="27" t="s">
        <v>226</v>
      </c>
      <c r="T4" s="27" t="s">
        <v>227</v>
      </c>
      <c r="U4" s="27" t="s">
        <v>221</v>
      </c>
      <c r="V4" s="27" t="s">
        <v>222</v>
      </c>
      <c r="W4" s="27" t="s">
        <v>223</v>
      </c>
      <c r="X4" s="27" t="s">
        <v>224</v>
      </c>
      <c r="Y4" s="27" t="s">
        <v>225</v>
      </c>
      <c r="Z4" s="27" t="s">
        <v>226</v>
      </c>
      <c r="AA4" s="27" t="s">
        <v>227</v>
      </c>
      <c r="AB4" s="27" t="s">
        <v>221</v>
      </c>
      <c r="AC4" s="27" t="s">
        <v>222</v>
      </c>
      <c r="AD4" s="27" t="s">
        <v>223</v>
      </c>
      <c r="AE4" s="27" t="s">
        <v>224</v>
      </c>
      <c r="AF4" s="27" t="s">
        <v>225</v>
      </c>
      <c r="AG4" s="27" t="s">
        <v>226</v>
      </c>
      <c r="AH4" s="27" t="s">
        <v>227</v>
      </c>
      <c r="AI4" s="27" t="s">
        <v>221</v>
      </c>
      <c r="AJ4" s="27" t="s">
        <v>222</v>
      </c>
      <c r="AK4" s="27" t="s">
        <v>223</v>
      </c>
      <c r="AL4" s="27" t="s">
        <v>224</v>
      </c>
      <c r="AM4" s="27" t="s">
        <v>225</v>
      </c>
      <c r="AN4" s="27" t="s">
        <v>226</v>
      </c>
      <c r="AO4" s="27" t="s">
        <v>227</v>
      </c>
      <c r="AP4" s="27" t="s">
        <v>221</v>
      </c>
      <c r="AQ4" s="27" t="s">
        <v>222</v>
      </c>
      <c r="AR4" s="27" t="s">
        <v>223</v>
      </c>
    </row>
    <row r="5" s="19" customFormat="1" ht="19" customHeight="1" spans="1:44">
      <c r="A5" s="27">
        <f t="shared" ref="A5:A21" si="0">ROW()-4</f>
        <v>1</v>
      </c>
      <c r="B5" s="27" t="s">
        <v>64</v>
      </c>
      <c r="C5" s="27" t="s">
        <v>228</v>
      </c>
      <c r="D5" s="27">
        <v>23.75</v>
      </c>
      <c r="E5" s="27">
        <v>23.75</v>
      </c>
      <c r="F5" s="29">
        <f>E5/D5</f>
        <v>1</v>
      </c>
      <c r="G5" s="27">
        <v>200</v>
      </c>
      <c r="H5" s="27">
        <f>COUNTIF(N5:AR5,"缺卡")</f>
        <v>0</v>
      </c>
      <c r="I5" s="27"/>
      <c r="J5" s="27">
        <f>COUNTIF(N5:AR5,"迟到")</f>
        <v>0</v>
      </c>
      <c r="K5" s="27"/>
      <c r="L5" s="27">
        <f>COUNTIF(M5:AQ5,"病假")</f>
        <v>0</v>
      </c>
      <c r="M5" s="27">
        <f>COUNTIF(N5:AR5,"事假")</f>
        <v>0</v>
      </c>
      <c r="N5" s="27" t="s">
        <v>229</v>
      </c>
      <c r="O5" s="27" t="s">
        <v>229</v>
      </c>
      <c r="P5" s="27" t="s">
        <v>229</v>
      </c>
      <c r="Q5" s="27" t="s">
        <v>230</v>
      </c>
      <c r="R5" s="27" t="s">
        <v>230</v>
      </c>
      <c r="S5" s="27" t="s">
        <v>230</v>
      </c>
      <c r="T5" s="27" t="s">
        <v>230</v>
      </c>
      <c r="U5" s="27" t="s">
        <v>230</v>
      </c>
      <c r="V5" s="27" t="s">
        <v>230</v>
      </c>
      <c r="W5" s="27" t="s">
        <v>230</v>
      </c>
      <c r="X5" s="27" t="s">
        <v>230</v>
      </c>
      <c r="Y5" s="27" t="s">
        <v>229</v>
      </c>
      <c r="Z5" s="27" t="s">
        <v>230</v>
      </c>
      <c r="AA5" s="27" t="s">
        <v>230</v>
      </c>
      <c r="AB5" s="27" t="s">
        <v>230</v>
      </c>
      <c r="AC5" s="27" t="s">
        <v>230</v>
      </c>
      <c r="AD5" s="27" t="s">
        <v>230</v>
      </c>
      <c r="AF5" s="27" t="s">
        <v>229</v>
      </c>
      <c r="AG5" s="27" t="s">
        <v>230</v>
      </c>
      <c r="AH5" s="27" t="s">
        <v>231</v>
      </c>
      <c r="AI5" s="27" t="s">
        <v>230</v>
      </c>
      <c r="AJ5" s="27" t="s">
        <v>230</v>
      </c>
      <c r="AK5" s="27" t="s">
        <v>230</v>
      </c>
      <c r="AL5" s="27" t="s">
        <v>230</v>
      </c>
      <c r="AM5" s="27" t="s">
        <v>229</v>
      </c>
      <c r="AN5" s="33" t="s">
        <v>232</v>
      </c>
      <c r="AO5" s="27" t="s">
        <v>230</v>
      </c>
      <c r="AP5" s="27" t="s">
        <v>230</v>
      </c>
      <c r="AQ5" s="27" t="s">
        <v>230</v>
      </c>
      <c r="AR5" s="27" t="s">
        <v>230</v>
      </c>
    </row>
    <row r="6" s="19" customFormat="1" ht="19" customHeight="1" spans="1:44">
      <c r="A6" s="27">
        <f t="shared" si="0"/>
        <v>2</v>
      </c>
      <c r="B6" s="27" t="s">
        <v>66</v>
      </c>
      <c r="C6" s="27" t="s">
        <v>65</v>
      </c>
      <c r="D6" s="27">
        <v>24</v>
      </c>
      <c r="E6" s="27">
        <f>COUNTIF(N6:AR6,"√")</f>
        <v>24</v>
      </c>
      <c r="F6" s="29">
        <f t="shared" ref="F6:F24" si="1">E6/D6</f>
        <v>1</v>
      </c>
      <c r="G6" s="27">
        <f t="shared" ref="G6:G24" si="2">IF(E6&gt;=D6,200,0)</f>
        <v>200</v>
      </c>
      <c r="H6" s="27">
        <f t="shared" ref="H6:H24" si="3">COUNTIF(N6:AR6,"缺卡")</f>
        <v>0</v>
      </c>
      <c r="I6" s="27"/>
      <c r="J6" s="27">
        <f t="shared" ref="J6:J24" si="4">COUNTIF(N6:AR6,"迟到")</f>
        <v>0</v>
      </c>
      <c r="K6" s="27"/>
      <c r="L6" s="27">
        <f t="shared" ref="L6:L24" si="5">COUNTIF(M6:AQ6,"病假")</f>
        <v>0</v>
      </c>
      <c r="M6" s="27">
        <f t="shared" ref="M6:M24" si="6">COUNTIF(N6:AR6,"事假")</f>
        <v>0</v>
      </c>
      <c r="N6" s="27" t="s">
        <v>229</v>
      </c>
      <c r="O6" s="27" t="s">
        <v>229</v>
      </c>
      <c r="P6" s="27" t="s">
        <v>229</v>
      </c>
      <c r="Q6" s="27" t="s">
        <v>230</v>
      </c>
      <c r="R6" s="27" t="s">
        <v>230</v>
      </c>
      <c r="S6" s="27" t="s">
        <v>230</v>
      </c>
      <c r="T6" s="27" t="s">
        <v>230</v>
      </c>
      <c r="U6" s="27" t="s">
        <v>231</v>
      </c>
      <c r="V6" s="27" t="s">
        <v>230</v>
      </c>
      <c r="W6" s="27" t="s">
        <v>230</v>
      </c>
      <c r="X6" s="27" t="s">
        <v>230</v>
      </c>
      <c r="Y6" s="27" t="s">
        <v>229</v>
      </c>
      <c r="Z6" s="27" t="s">
        <v>230</v>
      </c>
      <c r="AA6" s="27" t="s">
        <v>230</v>
      </c>
      <c r="AB6" s="27" t="s">
        <v>230</v>
      </c>
      <c r="AC6" s="27" t="s">
        <v>230</v>
      </c>
      <c r="AD6" s="27" t="s">
        <v>230</v>
      </c>
      <c r="AE6" s="27" t="s">
        <v>230</v>
      </c>
      <c r="AF6" s="27" t="s">
        <v>229</v>
      </c>
      <c r="AG6" s="27" t="s">
        <v>230</v>
      </c>
      <c r="AH6" s="27" t="s">
        <v>230</v>
      </c>
      <c r="AI6" s="27" t="s">
        <v>230</v>
      </c>
      <c r="AJ6" s="27" t="s">
        <v>230</v>
      </c>
      <c r="AK6" s="27" t="s">
        <v>230</v>
      </c>
      <c r="AL6" s="27" t="s">
        <v>230</v>
      </c>
      <c r="AM6" s="27" t="s">
        <v>229</v>
      </c>
      <c r="AN6" s="27" t="s">
        <v>230</v>
      </c>
      <c r="AO6" s="27" t="s">
        <v>230</v>
      </c>
      <c r="AP6" s="27" t="s">
        <v>230</v>
      </c>
      <c r="AQ6" s="27" t="s">
        <v>230</v>
      </c>
      <c r="AR6" s="27" t="s">
        <v>230</v>
      </c>
    </row>
    <row r="7" s="19" customFormat="1" ht="19" customHeight="1" spans="1:44">
      <c r="A7" s="27">
        <f t="shared" si="0"/>
        <v>3</v>
      </c>
      <c r="B7" s="27" t="s">
        <v>80</v>
      </c>
      <c r="C7" s="27" t="s">
        <v>67</v>
      </c>
      <c r="D7" s="27">
        <v>25</v>
      </c>
      <c r="E7" s="27">
        <f t="shared" ref="E6:E23" si="7">COUNTIF(N7:AR7,"√")</f>
        <v>25</v>
      </c>
      <c r="F7" s="29">
        <f t="shared" si="1"/>
        <v>1</v>
      </c>
      <c r="G7" s="27">
        <f t="shared" si="2"/>
        <v>200</v>
      </c>
      <c r="H7" s="27">
        <f t="shared" si="3"/>
        <v>0</v>
      </c>
      <c r="I7" s="27"/>
      <c r="J7" s="27">
        <f t="shared" si="4"/>
        <v>0</v>
      </c>
      <c r="K7" s="27"/>
      <c r="L7" s="27">
        <f t="shared" si="5"/>
        <v>0</v>
      </c>
      <c r="M7" s="27">
        <f t="shared" si="6"/>
        <v>0</v>
      </c>
      <c r="N7" s="27" t="s">
        <v>229</v>
      </c>
      <c r="O7" s="27" t="s">
        <v>229</v>
      </c>
      <c r="P7" s="27" t="s">
        <v>229</v>
      </c>
      <c r="Q7" s="27" t="s">
        <v>230</v>
      </c>
      <c r="R7" s="27" t="s">
        <v>230</v>
      </c>
      <c r="S7" s="27" t="s">
        <v>230</v>
      </c>
      <c r="T7" s="27" t="s">
        <v>230</v>
      </c>
      <c r="U7" s="27" t="s">
        <v>230</v>
      </c>
      <c r="V7" s="27" t="s">
        <v>230</v>
      </c>
      <c r="W7" s="27" t="s">
        <v>230</v>
      </c>
      <c r="X7" s="27" t="s">
        <v>230</v>
      </c>
      <c r="Y7" s="27" t="s">
        <v>229</v>
      </c>
      <c r="Z7" s="27" t="s">
        <v>230</v>
      </c>
      <c r="AA7" s="27" t="s">
        <v>230</v>
      </c>
      <c r="AB7" s="27" t="s">
        <v>230</v>
      </c>
      <c r="AC7" s="27" t="s">
        <v>230</v>
      </c>
      <c r="AD7" s="27" t="s">
        <v>230</v>
      </c>
      <c r="AE7" s="27" t="s">
        <v>230</v>
      </c>
      <c r="AF7" s="27" t="s">
        <v>229</v>
      </c>
      <c r="AG7" s="27" t="s">
        <v>230</v>
      </c>
      <c r="AH7" s="27" t="s">
        <v>230</v>
      </c>
      <c r="AI7" s="27" t="s">
        <v>230</v>
      </c>
      <c r="AJ7" s="27" t="s">
        <v>230</v>
      </c>
      <c r="AK7" s="27" t="s">
        <v>230</v>
      </c>
      <c r="AL7" s="27" t="s">
        <v>230</v>
      </c>
      <c r="AM7" s="27" t="s">
        <v>229</v>
      </c>
      <c r="AN7" s="27" t="s">
        <v>230</v>
      </c>
      <c r="AO7" s="27" t="s">
        <v>230</v>
      </c>
      <c r="AP7" s="27" t="s">
        <v>230</v>
      </c>
      <c r="AQ7" s="27" t="s">
        <v>230</v>
      </c>
      <c r="AR7" s="27" t="s">
        <v>230</v>
      </c>
    </row>
    <row r="8" s="19" customFormat="1" ht="19" customHeight="1" spans="1:44">
      <c r="A8" s="27">
        <f t="shared" si="0"/>
        <v>4</v>
      </c>
      <c r="B8" s="27" t="s">
        <v>78</v>
      </c>
      <c r="C8" s="27" t="s">
        <v>69</v>
      </c>
      <c r="D8" s="27">
        <v>25</v>
      </c>
      <c r="E8" s="27">
        <f t="shared" si="7"/>
        <v>25</v>
      </c>
      <c r="F8" s="29">
        <f t="shared" si="1"/>
        <v>1</v>
      </c>
      <c r="G8" s="27">
        <f t="shared" si="2"/>
        <v>200</v>
      </c>
      <c r="H8" s="27">
        <f t="shared" si="3"/>
        <v>0</v>
      </c>
      <c r="I8" s="27"/>
      <c r="J8" s="27">
        <f t="shared" si="4"/>
        <v>0</v>
      </c>
      <c r="K8" s="27"/>
      <c r="L8" s="27">
        <f t="shared" si="5"/>
        <v>0</v>
      </c>
      <c r="M8" s="27">
        <f t="shared" si="6"/>
        <v>0</v>
      </c>
      <c r="N8" s="27" t="s">
        <v>229</v>
      </c>
      <c r="O8" s="27" t="s">
        <v>229</v>
      </c>
      <c r="P8" s="27" t="s">
        <v>229</v>
      </c>
      <c r="Q8" s="27" t="s">
        <v>230</v>
      </c>
      <c r="R8" s="27" t="s">
        <v>230</v>
      </c>
      <c r="S8" s="27" t="s">
        <v>230</v>
      </c>
      <c r="T8" s="27" t="s">
        <v>230</v>
      </c>
      <c r="U8" s="27" t="s">
        <v>230</v>
      </c>
      <c r="V8" s="27" t="s">
        <v>230</v>
      </c>
      <c r="W8" s="27" t="s">
        <v>230</v>
      </c>
      <c r="X8" s="27" t="s">
        <v>230</v>
      </c>
      <c r="Y8" s="27" t="s">
        <v>229</v>
      </c>
      <c r="Z8" s="27" t="s">
        <v>230</v>
      </c>
      <c r="AA8" s="27" t="s">
        <v>230</v>
      </c>
      <c r="AB8" s="27" t="s">
        <v>230</v>
      </c>
      <c r="AC8" s="27" t="s">
        <v>230</v>
      </c>
      <c r="AD8" s="27" t="s">
        <v>230</v>
      </c>
      <c r="AE8" s="27" t="s">
        <v>230</v>
      </c>
      <c r="AF8" s="27" t="s">
        <v>229</v>
      </c>
      <c r="AG8" s="27" t="s">
        <v>230</v>
      </c>
      <c r="AH8" s="27" t="s">
        <v>230</v>
      </c>
      <c r="AI8" s="27" t="s">
        <v>230</v>
      </c>
      <c r="AJ8" s="27" t="s">
        <v>230</v>
      </c>
      <c r="AK8" s="27" t="s">
        <v>230</v>
      </c>
      <c r="AL8" s="27" t="s">
        <v>230</v>
      </c>
      <c r="AM8" s="27" t="s">
        <v>229</v>
      </c>
      <c r="AN8" s="27" t="s">
        <v>230</v>
      </c>
      <c r="AO8" s="27" t="s">
        <v>230</v>
      </c>
      <c r="AP8" s="27" t="s">
        <v>230</v>
      </c>
      <c r="AQ8" s="27" t="s">
        <v>230</v>
      </c>
      <c r="AR8" s="27" t="s">
        <v>230</v>
      </c>
    </row>
    <row r="9" s="19" customFormat="1" ht="19" customHeight="1" spans="1:44">
      <c r="A9" s="27">
        <f t="shared" si="0"/>
        <v>5</v>
      </c>
      <c r="B9" s="27" t="s">
        <v>74</v>
      </c>
      <c r="C9" s="27" t="s">
        <v>69</v>
      </c>
      <c r="D9" s="27">
        <v>25</v>
      </c>
      <c r="E9" s="27">
        <f t="shared" si="7"/>
        <v>25</v>
      </c>
      <c r="F9" s="29">
        <f t="shared" si="1"/>
        <v>1</v>
      </c>
      <c r="G9" s="27">
        <f t="shared" si="2"/>
        <v>200</v>
      </c>
      <c r="H9" s="27">
        <f t="shared" si="3"/>
        <v>0</v>
      </c>
      <c r="I9" s="27"/>
      <c r="J9" s="27">
        <f t="shared" si="4"/>
        <v>0</v>
      </c>
      <c r="K9" s="27"/>
      <c r="L9" s="27">
        <f t="shared" si="5"/>
        <v>0</v>
      </c>
      <c r="M9" s="27">
        <f t="shared" si="6"/>
        <v>0</v>
      </c>
      <c r="N9" s="27" t="s">
        <v>229</v>
      </c>
      <c r="O9" s="27" t="s">
        <v>229</v>
      </c>
      <c r="P9" s="27" t="s">
        <v>229</v>
      </c>
      <c r="Q9" s="27" t="s">
        <v>230</v>
      </c>
      <c r="R9" s="27" t="s">
        <v>230</v>
      </c>
      <c r="S9" s="27" t="s">
        <v>230</v>
      </c>
      <c r="T9" s="27" t="s">
        <v>230</v>
      </c>
      <c r="U9" s="27" t="s">
        <v>230</v>
      </c>
      <c r="V9" s="27" t="s">
        <v>230</v>
      </c>
      <c r="W9" s="27" t="s">
        <v>230</v>
      </c>
      <c r="X9" s="27" t="s">
        <v>230</v>
      </c>
      <c r="Y9" s="27" t="s">
        <v>229</v>
      </c>
      <c r="Z9" s="27" t="s">
        <v>230</v>
      </c>
      <c r="AA9" s="27" t="s">
        <v>230</v>
      </c>
      <c r="AB9" s="27" t="s">
        <v>230</v>
      </c>
      <c r="AC9" s="27" t="s">
        <v>230</v>
      </c>
      <c r="AD9" s="27" t="s">
        <v>230</v>
      </c>
      <c r="AE9" s="27" t="s">
        <v>230</v>
      </c>
      <c r="AF9" s="27" t="s">
        <v>229</v>
      </c>
      <c r="AG9" s="27" t="s">
        <v>230</v>
      </c>
      <c r="AH9" s="27" t="s">
        <v>230</v>
      </c>
      <c r="AI9" s="27" t="s">
        <v>230</v>
      </c>
      <c r="AJ9" s="27" t="s">
        <v>230</v>
      </c>
      <c r="AK9" s="27" t="s">
        <v>230</v>
      </c>
      <c r="AL9" s="27" t="s">
        <v>230</v>
      </c>
      <c r="AM9" s="27" t="s">
        <v>229</v>
      </c>
      <c r="AN9" s="27" t="s">
        <v>230</v>
      </c>
      <c r="AO9" s="27" t="s">
        <v>230</v>
      </c>
      <c r="AP9" s="27" t="s">
        <v>230</v>
      </c>
      <c r="AQ9" s="27" t="s">
        <v>230</v>
      </c>
      <c r="AR9" s="27" t="s">
        <v>230</v>
      </c>
    </row>
    <row r="10" s="19" customFormat="1" ht="19" customHeight="1" spans="1:44">
      <c r="A10" s="27">
        <f t="shared" si="0"/>
        <v>6</v>
      </c>
      <c r="B10" s="27" t="s">
        <v>87</v>
      </c>
      <c r="C10" s="27" t="s">
        <v>69</v>
      </c>
      <c r="D10" s="27">
        <v>25</v>
      </c>
      <c r="E10" s="27">
        <f t="shared" si="7"/>
        <v>25</v>
      </c>
      <c r="F10" s="29">
        <f t="shared" si="1"/>
        <v>1</v>
      </c>
      <c r="G10" s="27">
        <f t="shared" si="2"/>
        <v>200</v>
      </c>
      <c r="H10" s="27">
        <f t="shared" si="3"/>
        <v>0</v>
      </c>
      <c r="I10" s="27"/>
      <c r="J10" s="27">
        <f t="shared" si="4"/>
        <v>0</v>
      </c>
      <c r="K10" s="27"/>
      <c r="L10" s="27">
        <f t="shared" si="5"/>
        <v>0</v>
      </c>
      <c r="M10" s="27">
        <f t="shared" si="6"/>
        <v>0</v>
      </c>
      <c r="N10" s="27" t="s">
        <v>229</v>
      </c>
      <c r="O10" s="27" t="s">
        <v>229</v>
      </c>
      <c r="P10" s="27" t="s">
        <v>229</v>
      </c>
      <c r="Q10" s="27" t="s">
        <v>230</v>
      </c>
      <c r="R10" s="27" t="s">
        <v>230</v>
      </c>
      <c r="S10" s="27" t="s">
        <v>230</v>
      </c>
      <c r="T10" s="27" t="s">
        <v>230</v>
      </c>
      <c r="U10" s="27" t="s">
        <v>230</v>
      </c>
      <c r="V10" s="27" t="s">
        <v>230</v>
      </c>
      <c r="W10" s="27" t="s">
        <v>230</v>
      </c>
      <c r="X10" s="27" t="s">
        <v>230</v>
      </c>
      <c r="Y10" s="27" t="s">
        <v>229</v>
      </c>
      <c r="Z10" s="27" t="s">
        <v>230</v>
      </c>
      <c r="AA10" s="27" t="s">
        <v>230</v>
      </c>
      <c r="AB10" s="27" t="s">
        <v>230</v>
      </c>
      <c r="AC10" s="27" t="s">
        <v>230</v>
      </c>
      <c r="AD10" s="27" t="s">
        <v>230</v>
      </c>
      <c r="AE10" s="27" t="s">
        <v>230</v>
      </c>
      <c r="AF10" s="27" t="s">
        <v>229</v>
      </c>
      <c r="AG10" s="27" t="s">
        <v>230</v>
      </c>
      <c r="AH10" s="27" t="s">
        <v>230</v>
      </c>
      <c r="AI10" s="27" t="s">
        <v>230</v>
      </c>
      <c r="AJ10" s="27" t="s">
        <v>230</v>
      </c>
      <c r="AK10" s="27" t="s">
        <v>230</v>
      </c>
      <c r="AL10" s="27" t="s">
        <v>230</v>
      </c>
      <c r="AM10" s="27" t="s">
        <v>229</v>
      </c>
      <c r="AN10" s="27" t="s">
        <v>230</v>
      </c>
      <c r="AO10" s="27" t="s">
        <v>230</v>
      </c>
      <c r="AP10" s="27" t="s">
        <v>230</v>
      </c>
      <c r="AQ10" s="27" t="s">
        <v>230</v>
      </c>
      <c r="AR10" s="27" t="s">
        <v>230</v>
      </c>
    </row>
    <row r="11" s="19" customFormat="1" ht="19" customHeight="1" spans="1:44">
      <c r="A11" s="27">
        <f t="shared" si="0"/>
        <v>7</v>
      </c>
      <c r="B11" s="27" t="s">
        <v>82</v>
      </c>
      <c r="C11" s="27" t="s">
        <v>69</v>
      </c>
      <c r="D11" s="27">
        <v>25</v>
      </c>
      <c r="E11" s="27">
        <f t="shared" si="7"/>
        <v>25</v>
      </c>
      <c r="F11" s="29">
        <f t="shared" si="1"/>
        <v>1</v>
      </c>
      <c r="G11" s="27">
        <f t="shared" si="2"/>
        <v>200</v>
      </c>
      <c r="H11" s="27">
        <f t="shared" si="3"/>
        <v>0</v>
      </c>
      <c r="I11" s="27"/>
      <c r="J11" s="27">
        <f t="shared" si="4"/>
        <v>0</v>
      </c>
      <c r="K11" s="27"/>
      <c r="L11" s="27">
        <f t="shared" si="5"/>
        <v>0</v>
      </c>
      <c r="M11" s="27">
        <f t="shared" si="6"/>
        <v>0</v>
      </c>
      <c r="N11" s="27" t="s">
        <v>229</v>
      </c>
      <c r="O11" s="27" t="s">
        <v>229</v>
      </c>
      <c r="P11" s="27" t="s">
        <v>229</v>
      </c>
      <c r="Q11" s="27" t="s">
        <v>230</v>
      </c>
      <c r="R11" s="27" t="s">
        <v>230</v>
      </c>
      <c r="S11" s="27" t="s">
        <v>230</v>
      </c>
      <c r="T11" s="27" t="s">
        <v>230</v>
      </c>
      <c r="U11" s="27" t="s">
        <v>230</v>
      </c>
      <c r="V11" s="27" t="s">
        <v>230</v>
      </c>
      <c r="W11" s="27" t="s">
        <v>230</v>
      </c>
      <c r="X11" s="27" t="s">
        <v>230</v>
      </c>
      <c r="Y11" s="27" t="s">
        <v>229</v>
      </c>
      <c r="Z11" s="27" t="s">
        <v>230</v>
      </c>
      <c r="AA11" s="27" t="s">
        <v>230</v>
      </c>
      <c r="AB11" s="27" t="s">
        <v>230</v>
      </c>
      <c r="AC11" s="27" t="s">
        <v>230</v>
      </c>
      <c r="AD11" s="27" t="s">
        <v>230</v>
      </c>
      <c r="AE11" s="27" t="s">
        <v>230</v>
      </c>
      <c r="AF11" s="27" t="s">
        <v>229</v>
      </c>
      <c r="AG11" s="27" t="s">
        <v>230</v>
      </c>
      <c r="AH11" s="27" t="s">
        <v>230</v>
      </c>
      <c r="AI11" s="27" t="s">
        <v>230</v>
      </c>
      <c r="AJ11" s="27" t="s">
        <v>230</v>
      </c>
      <c r="AK11" s="27" t="s">
        <v>230</v>
      </c>
      <c r="AL11" s="27" t="s">
        <v>230</v>
      </c>
      <c r="AM11" s="27" t="s">
        <v>229</v>
      </c>
      <c r="AN11" s="27" t="s">
        <v>230</v>
      </c>
      <c r="AO11" s="27" t="s">
        <v>230</v>
      </c>
      <c r="AP11" s="27" t="s">
        <v>230</v>
      </c>
      <c r="AQ11" s="27" t="s">
        <v>230</v>
      </c>
      <c r="AR11" s="27" t="s">
        <v>230</v>
      </c>
    </row>
    <row r="12" s="19" customFormat="1" ht="19" customHeight="1" spans="1:44">
      <c r="A12" s="27">
        <f t="shared" si="0"/>
        <v>8</v>
      </c>
      <c r="B12" s="27" t="s">
        <v>86</v>
      </c>
      <c r="C12" s="27" t="s">
        <v>69</v>
      </c>
      <c r="D12" s="27">
        <v>25</v>
      </c>
      <c r="E12" s="27">
        <f t="shared" si="7"/>
        <v>25</v>
      </c>
      <c r="F12" s="29">
        <f t="shared" si="1"/>
        <v>1</v>
      </c>
      <c r="G12" s="27">
        <f t="shared" si="2"/>
        <v>200</v>
      </c>
      <c r="H12" s="27">
        <f t="shared" si="3"/>
        <v>0</v>
      </c>
      <c r="I12" s="27"/>
      <c r="J12" s="27">
        <f t="shared" si="4"/>
        <v>0</v>
      </c>
      <c r="K12" s="27"/>
      <c r="L12" s="27">
        <f t="shared" si="5"/>
        <v>0</v>
      </c>
      <c r="M12" s="27">
        <f t="shared" si="6"/>
        <v>0</v>
      </c>
      <c r="N12" s="27" t="s">
        <v>229</v>
      </c>
      <c r="O12" s="27" t="s">
        <v>229</v>
      </c>
      <c r="P12" s="27" t="s">
        <v>229</v>
      </c>
      <c r="Q12" s="27" t="s">
        <v>230</v>
      </c>
      <c r="R12" s="27" t="s">
        <v>230</v>
      </c>
      <c r="S12" s="27" t="s">
        <v>230</v>
      </c>
      <c r="T12" s="27" t="s">
        <v>230</v>
      </c>
      <c r="U12" s="27" t="s">
        <v>230</v>
      </c>
      <c r="V12" s="27" t="s">
        <v>230</v>
      </c>
      <c r="W12" s="27" t="s">
        <v>230</v>
      </c>
      <c r="X12" s="27" t="s">
        <v>230</v>
      </c>
      <c r="Y12" s="27" t="s">
        <v>229</v>
      </c>
      <c r="Z12" s="27" t="s">
        <v>230</v>
      </c>
      <c r="AA12" s="27" t="s">
        <v>230</v>
      </c>
      <c r="AB12" s="27" t="s">
        <v>230</v>
      </c>
      <c r="AC12" s="27" t="s">
        <v>230</v>
      </c>
      <c r="AD12" s="27" t="s">
        <v>230</v>
      </c>
      <c r="AE12" s="27" t="s">
        <v>230</v>
      </c>
      <c r="AF12" s="27" t="s">
        <v>229</v>
      </c>
      <c r="AG12" s="27" t="s">
        <v>230</v>
      </c>
      <c r="AH12" s="27" t="s">
        <v>230</v>
      </c>
      <c r="AI12" s="27" t="s">
        <v>230</v>
      </c>
      <c r="AJ12" s="27" t="s">
        <v>230</v>
      </c>
      <c r="AK12" s="27" t="s">
        <v>230</v>
      </c>
      <c r="AL12" s="27" t="s">
        <v>230</v>
      </c>
      <c r="AM12" s="27" t="s">
        <v>229</v>
      </c>
      <c r="AN12" s="27" t="s">
        <v>230</v>
      </c>
      <c r="AO12" s="27" t="s">
        <v>230</v>
      </c>
      <c r="AP12" s="27" t="s">
        <v>230</v>
      </c>
      <c r="AQ12" s="27" t="s">
        <v>230</v>
      </c>
      <c r="AR12" s="27" t="s">
        <v>230</v>
      </c>
    </row>
    <row r="13" s="19" customFormat="1" ht="19" customHeight="1" spans="1:44">
      <c r="A13" s="27">
        <f t="shared" si="0"/>
        <v>9</v>
      </c>
      <c r="B13" s="27" t="s">
        <v>81</v>
      </c>
      <c r="C13" s="27" t="s">
        <v>69</v>
      </c>
      <c r="D13" s="27">
        <v>25</v>
      </c>
      <c r="E13" s="27">
        <f t="shared" si="7"/>
        <v>25</v>
      </c>
      <c r="F13" s="29">
        <f t="shared" si="1"/>
        <v>1</v>
      </c>
      <c r="G13" s="27">
        <f t="shared" si="2"/>
        <v>200</v>
      </c>
      <c r="H13" s="27">
        <f t="shared" si="3"/>
        <v>0</v>
      </c>
      <c r="I13" s="27"/>
      <c r="J13" s="27">
        <f t="shared" si="4"/>
        <v>0</v>
      </c>
      <c r="K13" s="27"/>
      <c r="L13" s="27">
        <f t="shared" si="5"/>
        <v>0</v>
      </c>
      <c r="M13" s="27">
        <f t="shared" si="6"/>
        <v>0</v>
      </c>
      <c r="N13" s="27" t="s">
        <v>229</v>
      </c>
      <c r="O13" s="27" t="s">
        <v>229</v>
      </c>
      <c r="P13" s="27" t="s">
        <v>229</v>
      </c>
      <c r="Q13" s="27" t="s">
        <v>230</v>
      </c>
      <c r="R13" s="27" t="s">
        <v>230</v>
      </c>
      <c r="S13" s="27" t="s">
        <v>230</v>
      </c>
      <c r="T13" s="27" t="s">
        <v>230</v>
      </c>
      <c r="U13" s="27" t="s">
        <v>230</v>
      </c>
      <c r="V13" s="27" t="s">
        <v>230</v>
      </c>
      <c r="W13" s="27" t="s">
        <v>230</v>
      </c>
      <c r="X13" s="27" t="s">
        <v>230</v>
      </c>
      <c r="Y13" s="27" t="s">
        <v>229</v>
      </c>
      <c r="Z13" s="27" t="s">
        <v>230</v>
      </c>
      <c r="AA13" s="27" t="s">
        <v>230</v>
      </c>
      <c r="AB13" s="27" t="s">
        <v>230</v>
      </c>
      <c r="AC13" s="27" t="s">
        <v>230</v>
      </c>
      <c r="AD13" s="27" t="s">
        <v>230</v>
      </c>
      <c r="AE13" s="27" t="s">
        <v>230</v>
      </c>
      <c r="AF13" s="27" t="s">
        <v>229</v>
      </c>
      <c r="AG13" s="27" t="s">
        <v>230</v>
      </c>
      <c r="AH13" s="27" t="s">
        <v>230</v>
      </c>
      <c r="AI13" s="27" t="s">
        <v>230</v>
      </c>
      <c r="AJ13" s="27" t="s">
        <v>230</v>
      </c>
      <c r="AK13" s="27" t="s">
        <v>230</v>
      </c>
      <c r="AL13" s="27" t="s">
        <v>230</v>
      </c>
      <c r="AM13" s="27" t="s">
        <v>229</v>
      </c>
      <c r="AN13" s="27" t="s">
        <v>230</v>
      </c>
      <c r="AO13" s="27" t="s">
        <v>230</v>
      </c>
      <c r="AP13" s="27" t="s">
        <v>230</v>
      </c>
      <c r="AQ13" s="27" t="s">
        <v>230</v>
      </c>
      <c r="AR13" s="27" t="s">
        <v>230</v>
      </c>
    </row>
    <row r="14" s="19" customFormat="1" ht="19" customHeight="1" spans="1:44">
      <c r="A14" s="27">
        <f t="shared" si="0"/>
        <v>10</v>
      </c>
      <c r="B14" s="27" t="s">
        <v>85</v>
      </c>
      <c r="C14" s="27" t="s">
        <v>69</v>
      </c>
      <c r="D14" s="27">
        <v>25</v>
      </c>
      <c r="E14" s="27">
        <f t="shared" si="7"/>
        <v>25</v>
      </c>
      <c r="F14" s="29">
        <f t="shared" si="1"/>
        <v>1</v>
      </c>
      <c r="G14" s="27">
        <f t="shared" si="2"/>
        <v>200</v>
      </c>
      <c r="H14" s="27">
        <f t="shared" si="3"/>
        <v>0</v>
      </c>
      <c r="I14" s="27"/>
      <c r="J14" s="27">
        <f t="shared" si="4"/>
        <v>0</v>
      </c>
      <c r="K14" s="27"/>
      <c r="L14" s="27">
        <f t="shared" si="5"/>
        <v>0</v>
      </c>
      <c r="M14" s="27">
        <f t="shared" si="6"/>
        <v>0</v>
      </c>
      <c r="N14" s="27" t="s">
        <v>229</v>
      </c>
      <c r="O14" s="27" t="s">
        <v>229</v>
      </c>
      <c r="P14" s="27" t="s">
        <v>229</v>
      </c>
      <c r="Q14" s="27" t="s">
        <v>230</v>
      </c>
      <c r="R14" s="27" t="s">
        <v>230</v>
      </c>
      <c r="S14" s="27" t="s">
        <v>230</v>
      </c>
      <c r="T14" s="27" t="s">
        <v>230</v>
      </c>
      <c r="U14" s="27" t="s">
        <v>230</v>
      </c>
      <c r="V14" s="27" t="s">
        <v>230</v>
      </c>
      <c r="W14" s="27" t="s">
        <v>230</v>
      </c>
      <c r="X14" s="27" t="s">
        <v>230</v>
      </c>
      <c r="Y14" s="27" t="s">
        <v>229</v>
      </c>
      <c r="Z14" s="27" t="s">
        <v>230</v>
      </c>
      <c r="AA14" s="27" t="s">
        <v>230</v>
      </c>
      <c r="AB14" s="27" t="s">
        <v>230</v>
      </c>
      <c r="AC14" s="27" t="s">
        <v>230</v>
      </c>
      <c r="AD14" s="27" t="s">
        <v>230</v>
      </c>
      <c r="AE14" s="27" t="s">
        <v>230</v>
      </c>
      <c r="AF14" s="27" t="s">
        <v>229</v>
      </c>
      <c r="AG14" s="27" t="s">
        <v>230</v>
      </c>
      <c r="AH14" s="27" t="s">
        <v>230</v>
      </c>
      <c r="AI14" s="27" t="s">
        <v>230</v>
      </c>
      <c r="AJ14" s="27" t="s">
        <v>230</v>
      </c>
      <c r="AK14" s="27" t="s">
        <v>230</v>
      </c>
      <c r="AL14" s="27" t="s">
        <v>230</v>
      </c>
      <c r="AM14" s="27" t="s">
        <v>229</v>
      </c>
      <c r="AN14" s="27" t="s">
        <v>230</v>
      </c>
      <c r="AO14" s="27" t="s">
        <v>230</v>
      </c>
      <c r="AP14" s="27" t="s">
        <v>230</v>
      </c>
      <c r="AQ14" s="27" t="s">
        <v>230</v>
      </c>
      <c r="AR14" s="27" t="s">
        <v>230</v>
      </c>
    </row>
    <row r="15" s="19" customFormat="1" ht="19" customHeight="1" spans="1:44">
      <c r="A15" s="27">
        <f t="shared" si="0"/>
        <v>11</v>
      </c>
      <c r="B15" s="27" t="s">
        <v>71</v>
      </c>
      <c r="C15" s="27" t="s">
        <v>69</v>
      </c>
      <c r="D15" s="27">
        <v>25</v>
      </c>
      <c r="E15" s="27">
        <f t="shared" si="7"/>
        <v>25</v>
      </c>
      <c r="F15" s="29">
        <f t="shared" si="1"/>
        <v>1</v>
      </c>
      <c r="G15" s="27">
        <f t="shared" si="2"/>
        <v>200</v>
      </c>
      <c r="H15" s="27">
        <f t="shared" si="3"/>
        <v>0</v>
      </c>
      <c r="I15" s="27"/>
      <c r="J15" s="27">
        <f t="shared" si="4"/>
        <v>0</v>
      </c>
      <c r="K15" s="27"/>
      <c r="L15" s="27">
        <f t="shared" si="5"/>
        <v>0</v>
      </c>
      <c r="M15" s="27">
        <f t="shared" si="6"/>
        <v>0</v>
      </c>
      <c r="N15" s="27" t="s">
        <v>229</v>
      </c>
      <c r="O15" s="27" t="s">
        <v>229</v>
      </c>
      <c r="P15" s="27" t="s">
        <v>229</v>
      </c>
      <c r="Q15" s="27" t="s">
        <v>230</v>
      </c>
      <c r="R15" s="27" t="s">
        <v>230</v>
      </c>
      <c r="S15" s="27" t="s">
        <v>230</v>
      </c>
      <c r="T15" s="27" t="s">
        <v>230</v>
      </c>
      <c r="U15" s="27" t="s">
        <v>230</v>
      </c>
      <c r="V15" s="27" t="s">
        <v>230</v>
      </c>
      <c r="W15" s="27" t="s">
        <v>230</v>
      </c>
      <c r="X15" s="27" t="s">
        <v>230</v>
      </c>
      <c r="Y15" s="27" t="s">
        <v>229</v>
      </c>
      <c r="Z15" s="27" t="s">
        <v>230</v>
      </c>
      <c r="AA15" s="27" t="s">
        <v>230</v>
      </c>
      <c r="AB15" s="27" t="s">
        <v>230</v>
      </c>
      <c r="AC15" s="27" t="s">
        <v>230</v>
      </c>
      <c r="AD15" s="27" t="s">
        <v>230</v>
      </c>
      <c r="AE15" s="27" t="s">
        <v>230</v>
      </c>
      <c r="AF15" s="27" t="s">
        <v>229</v>
      </c>
      <c r="AG15" s="27" t="s">
        <v>230</v>
      </c>
      <c r="AH15" s="27" t="s">
        <v>230</v>
      </c>
      <c r="AI15" s="27" t="s">
        <v>230</v>
      </c>
      <c r="AJ15" s="27" t="s">
        <v>230</v>
      </c>
      <c r="AK15" s="27" t="s">
        <v>230</v>
      </c>
      <c r="AL15" s="27" t="s">
        <v>230</v>
      </c>
      <c r="AM15" s="27" t="s">
        <v>229</v>
      </c>
      <c r="AN15" s="27" t="s">
        <v>230</v>
      </c>
      <c r="AO15" s="27" t="s">
        <v>230</v>
      </c>
      <c r="AP15" s="27" t="s">
        <v>230</v>
      </c>
      <c r="AQ15" s="27" t="s">
        <v>230</v>
      </c>
      <c r="AR15" s="27" t="s">
        <v>230</v>
      </c>
    </row>
    <row r="16" s="19" customFormat="1" ht="19" customHeight="1" spans="1:44">
      <c r="A16" s="27">
        <f t="shared" si="0"/>
        <v>12</v>
      </c>
      <c r="B16" s="27" t="s">
        <v>68</v>
      </c>
      <c r="C16" s="27" t="s">
        <v>67</v>
      </c>
      <c r="D16" s="27">
        <v>25</v>
      </c>
      <c r="E16" s="27">
        <f t="shared" si="7"/>
        <v>25</v>
      </c>
      <c r="F16" s="29">
        <f t="shared" si="1"/>
        <v>1</v>
      </c>
      <c r="G16" s="27">
        <f t="shared" si="2"/>
        <v>200</v>
      </c>
      <c r="H16" s="27">
        <f t="shared" si="3"/>
        <v>0</v>
      </c>
      <c r="I16" s="27"/>
      <c r="J16" s="27">
        <f t="shared" si="4"/>
        <v>0</v>
      </c>
      <c r="K16" s="27"/>
      <c r="L16" s="27">
        <f t="shared" si="5"/>
        <v>0</v>
      </c>
      <c r="M16" s="27">
        <f t="shared" si="6"/>
        <v>0</v>
      </c>
      <c r="N16" s="27" t="s">
        <v>229</v>
      </c>
      <c r="O16" s="27" t="s">
        <v>229</v>
      </c>
      <c r="P16" s="27" t="s">
        <v>229</v>
      </c>
      <c r="Q16" s="27" t="s">
        <v>230</v>
      </c>
      <c r="R16" s="27" t="s">
        <v>230</v>
      </c>
      <c r="S16" s="27" t="s">
        <v>230</v>
      </c>
      <c r="T16" s="27" t="s">
        <v>230</v>
      </c>
      <c r="U16" s="27" t="s">
        <v>230</v>
      </c>
      <c r="V16" s="27" t="s">
        <v>230</v>
      </c>
      <c r="W16" s="27" t="s">
        <v>230</v>
      </c>
      <c r="X16" s="27" t="s">
        <v>230</v>
      </c>
      <c r="Y16" s="27" t="s">
        <v>229</v>
      </c>
      <c r="Z16" s="27" t="s">
        <v>230</v>
      </c>
      <c r="AA16" s="27" t="s">
        <v>230</v>
      </c>
      <c r="AB16" s="27" t="s">
        <v>230</v>
      </c>
      <c r="AC16" s="27" t="s">
        <v>230</v>
      </c>
      <c r="AD16" s="27" t="s">
        <v>230</v>
      </c>
      <c r="AE16" s="27" t="s">
        <v>230</v>
      </c>
      <c r="AF16" s="27" t="s">
        <v>229</v>
      </c>
      <c r="AG16" s="27" t="s">
        <v>230</v>
      </c>
      <c r="AH16" s="27" t="s">
        <v>230</v>
      </c>
      <c r="AI16" s="27" t="s">
        <v>230</v>
      </c>
      <c r="AJ16" s="27" t="s">
        <v>230</v>
      </c>
      <c r="AK16" s="27" t="s">
        <v>230</v>
      </c>
      <c r="AL16" s="27" t="s">
        <v>230</v>
      </c>
      <c r="AM16" s="27" t="s">
        <v>229</v>
      </c>
      <c r="AN16" s="27" t="s">
        <v>230</v>
      </c>
      <c r="AO16" s="27" t="s">
        <v>230</v>
      </c>
      <c r="AP16" s="27" t="s">
        <v>230</v>
      </c>
      <c r="AQ16" s="27" t="s">
        <v>230</v>
      </c>
      <c r="AR16" s="27" t="s">
        <v>230</v>
      </c>
    </row>
    <row r="17" s="19" customFormat="1" ht="19" customHeight="1" spans="1:44">
      <c r="A17" s="27">
        <f t="shared" si="0"/>
        <v>13</v>
      </c>
      <c r="B17" s="27" t="s">
        <v>70</v>
      </c>
      <c r="C17" s="27" t="s">
        <v>69</v>
      </c>
      <c r="D17" s="27">
        <v>25</v>
      </c>
      <c r="E17" s="27">
        <f t="shared" si="7"/>
        <v>25</v>
      </c>
      <c r="F17" s="29">
        <f t="shared" si="1"/>
        <v>1</v>
      </c>
      <c r="G17" s="27">
        <f t="shared" si="2"/>
        <v>200</v>
      </c>
      <c r="H17" s="27">
        <f t="shared" si="3"/>
        <v>0</v>
      </c>
      <c r="I17" s="27"/>
      <c r="J17" s="27">
        <f t="shared" si="4"/>
        <v>0</v>
      </c>
      <c r="K17" s="27"/>
      <c r="L17" s="27">
        <f t="shared" si="5"/>
        <v>0</v>
      </c>
      <c r="M17" s="27">
        <f t="shared" si="6"/>
        <v>0</v>
      </c>
      <c r="N17" s="27" t="s">
        <v>229</v>
      </c>
      <c r="O17" s="27" t="s">
        <v>229</v>
      </c>
      <c r="P17" s="27" t="s">
        <v>229</v>
      </c>
      <c r="Q17" s="27" t="s">
        <v>230</v>
      </c>
      <c r="R17" s="27" t="s">
        <v>230</v>
      </c>
      <c r="S17" s="27" t="s">
        <v>230</v>
      </c>
      <c r="T17" s="27" t="s">
        <v>230</v>
      </c>
      <c r="U17" s="27" t="s">
        <v>230</v>
      </c>
      <c r="V17" s="27" t="s">
        <v>230</v>
      </c>
      <c r="W17" s="27" t="s">
        <v>230</v>
      </c>
      <c r="X17" s="27" t="s">
        <v>230</v>
      </c>
      <c r="Y17" s="27" t="s">
        <v>229</v>
      </c>
      <c r="Z17" s="27" t="s">
        <v>230</v>
      </c>
      <c r="AA17" s="27" t="s">
        <v>230</v>
      </c>
      <c r="AB17" s="27" t="s">
        <v>230</v>
      </c>
      <c r="AC17" s="27" t="s">
        <v>230</v>
      </c>
      <c r="AD17" s="27" t="s">
        <v>230</v>
      </c>
      <c r="AE17" s="27" t="s">
        <v>230</v>
      </c>
      <c r="AF17" s="27" t="s">
        <v>229</v>
      </c>
      <c r="AG17" s="27" t="s">
        <v>230</v>
      </c>
      <c r="AH17" s="27" t="s">
        <v>230</v>
      </c>
      <c r="AI17" s="27" t="s">
        <v>230</v>
      </c>
      <c r="AJ17" s="27" t="s">
        <v>230</v>
      </c>
      <c r="AK17" s="27" t="s">
        <v>230</v>
      </c>
      <c r="AL17" s="27" t="s">
        <v>230</v>
      </c>
      <c r="AM17" s="27" t="s">
        <v>229</v>
      </c>
      <c r="AN17" s="27" t="s">
        <v>230</v>
      </c>
      <c r="AO17" s="27" t="s">
        <v>230</v>
      </c>
      <c r="AP17" s="27" t="s">
        <v>230</v>
      </c>
      <c r="AQ17" s="27" t="s">
        <v>230</v>
      </c>
      <c r="AR17" s="27" t="s">
        <v>230</v>
      </c>
    </row>
    <row r="18" s="19" customFormat="1" ht="19" customHeight="1" spans="1:44">
      <c r="A18" s="27">
        <f t="shared" si="0"/>
        <v>14</v>
      </c>
      <c r="B18" s="27" t="s">
        <v>72</v>
      </c>
      <c r="C18" s="27" t="s">
        <v>69</v>
      </c>
      <c r="D18" s="27">
        <v>25</v>
      </c>
      <c r="E18" s="27">
        <f t="shared" si="7"/>
        <v>23</v>
      </c>
      <c r="F18" s="29">
        <f t="shared" si="1"/>
        <v>0.92</v>
      </c>
      <c r="G18" s="27">
        <f t="shared" si="2"/>
        <v>0</v>
      </c>
      <c r="H18" s="27">
        <f t="shared" si="3"/>
        <v>0</v>
      </c>
      <c r="I18" s="27"/>
      <c r="J18" s="27">
        <f t="shared" si="4"/>
        <v>0</v>
      </c>
      <c r="K18" s="27"/>
      <c r="L18" s="27">
        <f t="shared" si="5"/>
        <v>0</v>
      </c>
      <c r="M18" s="27">
        <f t="shared" si="6"/>
        <v>2</v>
      </c>
      <c r="N18" s="27" t="s">
        <v>229</v>
      </c>
      <c r="O18" s="27" t="s">
        <v>229</v>
      </c>
      <c r="P18" s="27" t="s">
        <v>229</v>
      </c>
      <c r="Q18" s="27" t="s">
        <v>230</v>
      </c>
      <c r="R18" s="27" t="s">
        <v>230</v>
      </c>
      <c r="S18" s="27" t="s">
        <v>230</v>
      </c>
      <c r="T18" s="27" t="s">
        <v>230</v>
      </c>
      <c r="U18" s="27" t="s">
        <v>230</v>
      </c>
      <c r="V18" s="27" t="s">
        <v>230</v>
      </c>
      <c r="W18" s="27" t="s">
        <v>230</v>
      </c>
      <c r="X18" s="27" t="s">
        <v>230</v>
      </c>
      <c r="Y18" s="27" t="s">
        <v>229</v>
      </c>
      <c r="Z18" s="27" t="s">
        <v>230</v>
      </c>
      <c r="AA18" s="32" t="s">
        <v>48</v>
      </c>
      <c r="AB18" s="32" t="s">
        <v>48</v>
      </c>
      <c r="AC18" s="27" t="s">
        <v>230</v>
      </c>
      <c r="AD18" s="27" t="s">
        <v>230</v>
      </c>
      <c r="AE18" s="27" t="s">
        <v>230</v>
      </c>
      <c r="AF18" s="27" t="s">
        <v>229</v>
      </c>
      <c r="AG18" s="27" t="s">
        <v>230</v>
      </c>
      <c r="AH18" s="27" t="s">
        <v>230</v>
      </c>
      <c r="AI18" s="27" t="s">
        <v>230</v>
      </c>
      <c r="AJ18" s="27" t="s">
        <v>230</v>
      </c>
      <c r="AK18" s="27" t="s">
        <v>230</v>
      </c>
      <c r="AL18" s="27" t="s">
        <v>230</v>
      </c>
      <c r="AM18" s="27" t="s">
        <v>229</v>
      </c>
      <c r="AN18" s="27" t="s">
        <v>230</v>
      </c>
      <c r="AO18" s="27" t="s">
        <v>230</v>
      </c>
      <c r="AP18" s="27" t="s">
        <v>230</v>
      </c>
      <c r="AQ18" s="27" t="s">
        <v>230</v>
      </c>
      <c r="AR18" s="27" t="s">
        <v>230</v>
      </c>
    </row>
    <row r="19" s="19" customFormat="1" ht="19" customHeight="1" spans="1:44">
      <c r="A19" s="27">
        <f t="shared" si="0"/>
        <v>15</v>
      </c>
      <c r="B19" s="27" t="s">
        <v>73</v>
      </c>
      <c r="C19" s="27" t="s">
        <v>69</v>
      </c>
      <c r="D19" s="27">
        <v>25</v>
      </c>
      <c r="E19" s="27">
        <f>COUNTIF(N19:AR19,"√")+COUNTIF(N19:AR19,"迟到")</f>
        <v>25</v>
      </c>
      <c r="F19" s="29">
        <f t="shared" si="1"/>
        <v>1</v>
      </c>
      <c r="G19" s="27">
        <f t="shared" si="2"/>
        <v>200</v>
      </c>
      <c r="H19" s="27">
        <f t="shared" si="3"/>
        <v>0</v>
      </c>
      <c r="I19" s="27"/>
      <c r="J19" s="27">
        <f t="shared" si="4"/>
        <v>1</v>
      </c>
      <c r="K19" s="27">
        <v>20</v>
      </c>
      <c r="L19" s="27">
        <f t="shared" si="5"/>
        <v>0</v>
      </c>
      <c r="M19" s="27">
        <f t="shared" si="6"/>
        <v>0</v>
      </c>
      <c r="N19" s="27" t="s">
        <v>229</v>
      </c>
      <c r="O19" s="27" t="s">
        <v>229</v>
      </c>
      <c r="P19" s="27" t="s">
        <v>229</v>
      </c>
      <c r="Q19" s="27" t="s">
        <v>230</v>
      </c>
      <c r="R19" s="27" t="s">
        <v>230</v>
      </c>
      <c r="S19" s="27" t="s">
        <v>230</v>
      </c>
      <c r="T19" s="27" t="s">
        <v>230</v>
      </c>
      <c r="U19" s="27" t="s">
        <v>230</v>
      </c>
      <c r="V19" s="27" t="s">
        <v>230</v>
      </c>
      <c r="W19" s="27" t="s">
        <v>230</v>
      </c>
      <c r="X19" s="27" t="s">
        <v>230</v>
      </c>
      <c r="Y19" s="27" t="s">
        <v>229</v>
      </c>
      <c r="Z19" s="27" t="s">
        <v>230</v>
      </c>
      <c r="AA19" s="27" t="s">
        <v>230</v>
      </c>
      <c r="AB19" s="27" t="s">
        <v>230</v>
      </c>
      <c r="AC19" s="27" t="s">
        <v>230</v>
      </c>
      <c r="AD19" s="27" t="s">
        <v>230</v>
      </c>
      <c r="AE19" s="27" t="s">
        <v>230</v>
      </c>
      <c r="AF19" s="27" t="s">
        <v>229</v>
      </c>
      <c r="AG19" s="27" t="s">
        <v>230</v>
      </c>
      <c r="AH19" s="27" t="s">
        <v>230</v>
      </c>
      <c r="AI19" s="27" t="s">
        <v>230</v>
      </c>
      <c r="AJ19" s="27" t="s">
        <v>230</v>
      </c>
      <c r="AK19" s="27" t="s">
        <v>230</v>
      </c>
      <c r="AL19" s="27" t="s">
        <v>230</v>
      </c>
      <c r="AM19" s="27" t="s">
        <v>229</v>
      </c>
      <c r="AN19" s="27" t="s">
        <v>230</v>
      </c>
      <c r="AO19" s="27" t="s">
        <v>230</v>
      </c>
      <c r="AP19" s="27" t="s">
        <v>233</v>
      </c>
      <c r="AQ19" s="27" t="s">
        <v>230</v>
      </c>
      <c r="AR19" s="27" t="s">
        <v>230</v>
      </c>
    </row>
    <row r="20" s="19" customFormat="1" ht="19" customHeight="1" spans="1:44">
      <c r="A20" s="27">
        <f t="shared" si="0"/>
        <v>16</v>
      </c>
      <c r="B20" s="27" t="s">
        <v>83</v>
      </c>
      <c r="C20" s="27" t="s">
        <v>69</v>
      </c>
      <c r="D20" s="27">
        <v>25</v>
      </c>
      <c r="E20" s="27">
        <f t="shared" si="7"/>
        <v>25</v>
      </c>
      <c r="F20" s="29">
        <f t="shared" si="1"/>
        <v>1</v>
      </c>
      <c r="G20" s="27">
        <f t="shared" si="2"/>
        <v>200</v>
      </c>
      <c r="H20" s="27">
        <f t="shared" si="3"/>
        <v>0</v>
      </c>
      <c r="I20" s="27"/>
      <c r="J20" s="27">
        <f t="shared" si="4"/>
        <v>0</v>
      </c>
      <c r="K20" s="27"/>
      <c r="L20" s="27">
        <f t="shared" si="5"/>
        <v>0</v>
      </c>
      <c r="M20" s="27">
        <f t="shared" si="6"/>
        <v>0</v>
      </c>
      <c r="N20" s="27" t="s">
        <v>229</v>
      </c>
      <c r="O20" s="27" t="s">
        <v>229</v>
      </c>
      <c r="P20" s="27" t="s">
        <v>229</v>
      </c>
      <c r="Q20" s="27" t="s">
        <v>230</v>
      </c>
      <c r="R20" s="27" t="s">
        <v>230</v>
      </c>
      <c r="S20" s="27" t="s">
        <v>230</v>
      </c>
      <c r="T20" s="27" t="s">
        <v>230</v>
      </c>
      <c r="U20" s="27" t="s">
        <v>230</v>
      </c>
      <c r="V20" s="27" t="s">
        <v>230</v>
      </c>
      <c r="W20" s="27" t="s">
        <v>230</v>
      </c>
      <c r="X20" s="27" t="s">
        <v>230</v>
      </c>
      <c r="Y20" s="27" t="s">
        <v>229</v>
      </c>
      <c r="Z20" s="27" t="s">
        <v>230</v>
      </c>
      <c r="AA20" s="27" t="s">
        <v>230</v>
      </c>
      <c r="AB20" s="27" t="s">
        <v>230</v>
      </c>
      <c r="AC20" s="27" t="s">
        <v>230</v>
      </c>
      <c r="AD20" s="27" t="s">
        <v>230</v>
      </c>
      <c r="AE20" s="27" t="s">
        <v>230</v>
      </c>
      <c r="AF20" s="27" t="s">
        <v>229</v>
      </c>
      <c r="AG20" s="27" t="s">
        <v>230</v>
      </c>
      <c r="AH20" s="27" t="s">
        <v>230</v>
      </c>
      <c r="AI20" s="27" t="s">
        <v>230</v>
      </c>
      <c r="AJ20" s="27" t="s">
        <v>230</v>
      </c>
      <c r="AK20" s="27" t="s">
        <v>230</v>
      </c>
      <c r="AL20" s="27" t="s">
        <v>230</v>
      </c>
      <c r="AM20" s="27" t="s">
        <v>229</v>
      </c>
      <c r="AN20" s="27" t="s">
        <v>230</v>
      </c>
      <c r="AO20" s="27" t="s">
        <v>230</v>
      </c>
      <c r="AP20" s="27" t="s">
        <v>230</v>
      </c>
      <c r="AQ20" s="27" t="s">
        <v>230</v>
      </c>
      <c r="AR20" s="27" t="s">
        <v>230</v>
      </c>
    </row>
    <row r="21" s="19" customFormat="1" ht="19" customHeight="1" spans="1:44">
      <c r="A21" s="27">
        <v>17</v>
      </c>
      <c r="B21" s="27" t="s">
        <v>76</v>
      </c>
      <c r="C21" s="27" t="s">
        <v>69</v>
      </c>
      <c r="D21" s="27">
        <v>25</v>
      </c>
      <c r="E21" s="27">
        <f>COUNTIF(N21:AR21,"√")+COUNTIF(N21:AR21,"试岗")</f>
        <v>11</v>
      </c>
      <c r="F21" s="29">
        <f t="shared" si="1"/>
        <v>0.44</v>
      </c>
      <c r="G21" s="27">
        <f t="shared" si="2"/>
        <v>0</v>
      </c>
      <c r="H21" s="27">
        <f t="shared" si="3"/>
        <v>0</v>
      </c>
      <c r="I21" s="27"/>
      <c r="J21" s="27">
        <f t="shared" si="4"/>
        <v>0</v>
      </c>
      <c r="K21" s="27"/>
      <c r="L21" s="27">
        <f t="shared" si="5"/>
        <v>0</v>
      </c>
      <c r="M21" s="27">
        <f t="shared" si="6"/>
        <v>0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 t="s">
        <v>229</v>
      </c>
      <c r="AG21" s="27" t="s">
        <v>234</v>
      </c>
      <c r="AH21" s="27" t="s">
        <v>234</v>
      </c>
      <c r="AI21" s="27" t="s">
        <v>234</v>
      </c>
      <c r="AJ21" s="27" t="s">
        <v>230</v>
      </c>
      <c r="AK21" s="27" t="s">
        <v>230</v>
      </c>
      <c r="AL21" s="27" t="s">
        <v>230</v>
      </c>
      <c r="AM21" s="27" t="s">
        <v>229</v>
      </c>
      <c r="AN21" s="27" t="s">
        <v>230</v>
      </c>
      <c r="AO21" s="27" t="s">
        <v>230</v>
      </c>
      <c r="AP21" s="27" t="s">
        <v>230</v>
      </c>
      <c r="AQ21" s="27" t="s">
        <v>230</v>
      </c>
      <c r="AR21" s="27" t="s">
        <v>230</v>
      </c>
    </row>
    <row r="22" s="19" customFormat="1" ht="19" customHeight="1" spans="1:44">
      <c r="A22" s="27">
        <v>18</v>
      </c>
      <c r="B22" s="27" t="s">
        <v>75</v>
      </c>
      <c r="C22" s="27" t="s">
        <v>69</v>
      </c>
      <c r="D22" s="27">
        <v>25</v>
      </c>
      <c r="E22" s="27">
        <f>COUNTIF(N22:AR22,"√")+COUNTIF(N22:AR22,"试岗")</f>
        <v>11</v>
      </c>
      <c r="F22" s="29">
        <f t="shared" si="1"/>
        <v>0.44</v>
      </c>
      <c r="G22" s="27">
        <f t="shared" si="2"/>
        <v>0</v>
      </c>
      <c r="H22" s="27">
        <f t="shared" si="3"/>
        <v>0</v>
      </c>
      <c r="I22" s="27"/>
      <c r="J22" s="27">
        <f t="shared" si="4"/>
        <v>0</v>
      </c>
      <c r="K22" s="27"/>
      <c r="L22" s="27">
        <f t="shared" si="5"/>
        <v>0</v>
      </c>
      <c r="M22" s="27">
        <f t="shared" si="6"/>
        <v>0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 t="s">
        <v>229</v>
      </c>
      <c r="AG22" s="27" t="s">
        <v>234</v>
      </c>
      <c r="AH22" s="27" t="s">
        <v>234</v>
      </c>
      <c r="AI22" s="27" t="s">
        <v>234</v>
      </c>
      <c r="AJ22" s="27" t="s">
        <v>230</v>
      </c>
      <c r="AK22" s="27" t="s">
        <v>230</v>
      </c>
      <c r="AL22" s="27" t="s">
        <v>230</v>
      </c>
      <c r="AM22" s="27" t="s">
        <v>229</v>
      </c>
      <c r="AN22" s="27" t="s">
        <v>230</v>
      </c>
      <c r="AO22" s="27" t="s">
        <v>230</v>
      </c>
      <c r="AP22" s="27" t="s">
        <v>230</v>
      </c>
      <c r="AQ22" s="27" t="s">
        <v>230</v>
      </c>
      <c r="AR22" s="27" t="s">
        <v>230</v>
      </c>
    </row>
    <row r="23" s="19" customFormat="1" ht="19" customHeight="1" spans="1:44">
      <c r="A23" s="27">
        <v>19</v>
      </c>
      <c r="B23" s="27" t="s">
        <v>88</v>
      </c>
      <c r="C23" s="27" t="s">
        <v>69</v>
      </c>
      <c r="D23" s="27">
        <v>25</v>
      </c>
      <c r="E23" s="27">
        <f>COUNTIF(N23:AR23,"√")+COUNTIF(N23:AR23,"试岗")</f>
        <v>9</v>
      </c>
      <c r="F23" s="29">
        <f t="shared" si="1"/>
        <v>0.36</v>
      </c>
      <c r="G23" s="27">
        <f t="shared" si="2"/>
        <v>0</v>
      </c>
      <c r="H23" s="27">
        <f t="shared" si="3"/>
        <v>0</v>
      </c>
      <c r="I23" s="27"/>
      <c r="J23" s="27">
        <f t="shared" si="4"/>
        <v>0</v>
      </c>
      <c r="K23" s="27"/>
      <c r="L23" s="27">
        <f t="shared" si="5"/>
        <v>0</v>
      </c>
      <c r="M23" s="27">
        <f t="shared" si="6"/>
        <v>0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 t="s">
        <v>234</v>
      </c>
      <c r="AJ23" s="27" t="s">
        <v>234</v>
      </c>
      <c r="AK23" s="27" t="s">
        <v>234</v>
      </c>
      <c r="AL23" s="27" t="s">
        <v>230</v>
      </c>
      <c r="AM23" s="27" t="s">
        <v>229</v>
      </c>
      <c r="AN23" s="27" t="s">
        <v>230</v>
      </c>
      <c r="AO23" s="27" t="s">
        <v>230</v>
      </c>
      <c r="AP23" s="27" t="s">
        <v>230</v>
      </c>
      <c r="AQ23" s="27" t="s">
        <v>230</v>
      </c>
      <c r="AR23" s="27" t="s">
        <v>230</v>
      </c>
    </row>
    <row r="24" s="19" customFormat="1" ht="19" customHeight="1" spans="1:44">
      <c r="A24" s="27">
        <f>ROW()-4</f>
        <v>20</v>
      </c>
      <c r="B24" s="27" t="s">
        <v>91</v>
      </c>
      <c r="C24" s="27" t="s">
        <v>235</v>
      </c>
      <c r="D24" s="27">
        <v>23</v>
      </c>
      <c r="E24" s="27">
        <f>COUNTIF(N24:AR24,"√")</f>
        <v>23</v>
      </c>
      <c r="F24" s="29">
        <f t="shared" si="1"/>
        <v>1</v>
      </c>
      <c r="G24" s="27">
        <f t="shared" si="2"/>
        <v>200</v>
      </c>
      <c r="H24" s="27">
        <f t="shared" si="3"/>
        <v>0</v>
      </c>
      <c r="I24" s="27"/>
      <c r="J24" s="27">
        <f t="shared" si="4"/>
        <v>0</v>
      </c>
      <c r="K24" s="27"/>
      <c r="L24" s="27">
        <f t="shared" si="5"/>
        <v>0</v>
      </c>
      <c r="M24" s="27">
        <f t="shared" si="6"/>
        <v>0</v>
      </c>
      <c r="N24" s="27" t="s">
        <v>229</v>
      </c>
      <c r="O24" s="27" t="s">
        <v>229</v>
      </c>
      <c r="P24" s="27" t="s">
        <v>229</v>
      </c>
      <c r="Q24" s="27" t="s">
        <v>229</v>
      </c>
      <c r="R24" s="27" t="s">
        <v>229</v>
      </c>
      <c r="S24" s="27" t="s">
        <v>230</v>
      </c>
      <c r="T24" s="27" t="s">
        <v>230</v>
      </c>
      <c r="U24" s="27" t="s">
        <v>230</v>
      </c>
      <c r="V24" s="27" t="s">
        <v>230</v>
      </c>
      <c r="W24" s="27" t="s">
        <v>230</v>
      </c>
      <c r="X24" s="27" t="s">
        <v>230</v>
      </c>
      <c r="Y24" s="27" t="s">
        <v>229</v>
      </c>
      <c r="Z24" s="27" t="s">
        <v>230</v>
      </c>
      <c r="AA24" s="27" t="s">
        <v>230</v>
      </c>
      <c r="AB24" s="27" t="s">
        <v>230</v>
      </c>
      <c r="AC24" s="27" t="s">
        <v>230</v>
      </c>
      <c r="AD24" s="27" t="s">
        <v>230</v>
      </c>
      <c r="AE24" s="27" t="s">
        <v>230</v>
      </c>
      <c r="AF24" s="27" t="s">
        <v>229</v>
      </c>
      <c r="AG24" s="27" t="s">
        <v>230</v>
      </c>
      <c r="AH24" s="27" t="s">
        <v>230</v>
      </c>
      <c r="AI24" s="27" t="s">
        <v>230</v>
      </c>
      <c r="AJ24" s="27" t="s">
        <v>230</v>
      </c>
      <c r="AK24" s="27" t="s">
        <v>230</v>
      </c>
      <c r="AL24" s="27" t="s">
        <v>230</v>
      </c>
      <c r="AM24" s="27" t="s">
        <v>229</v>
      </c>
      <c r="AN24" s="27" t="s">
        <v>230</v>
      </c>
      <c r="AO24" s="27" t="s">
        <v>230</v>
      </c>
      <c r="AP24" s="27" t="s">
        <v>230</v>
      </c>
      <c r="AQ24" s="27" t="s">
        <v>230</v>
      </c>
      <c r="AR24" s="27" t="s">
        <v>230</v>
      </c>
    </row>
  </sheetData>
  <mergeCells count="16">
    <mergeCell ref="A1:AR1"/>
    <mergeCell ref="B2:M2"/>
    <mergeCell ref="N2:AR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ageMargins left="0.75" right="0.75" top="1" bottom="1" header="0.5" footer="0.5"/>
  <headerFooter/>
  <ignoredErrors>
    <ignoredError sqref="E19" formula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O22"/>
  <sheetViews>
    <sheetView zoomScale="85" zoomScaleNormal="85" workbookViewId="0">
      <pane ySplit="2" topLeftCell="A3" activePane="bottomLeft" state="frozen"/>
      <selection/>
      <selection pane="bottomLeft" activeCell="N12" sqref="N12"/>
    </sheetView>
  </sheetViews>
  <sheetFormatPr defaultColWidth="9" defaultRowHeight="18.75"/>
  <cols>
    <col min="1" max="1" width="10" style="9" customWidth="1"/>
    <col min="2" max="2" width="8.81666666666667" customWidth="1"/>
    <col min="3" max="4" width="17.375" customWidth="1"/>
    <col min="6" max="6" width="9" style="9"/>
    <col min="7" max="7" width="8.375" customWidth="1"/>
    <col min="8" max="9" width="11.875" customWidth="1"/>
    <col min="10" max="11" width="22.875" customWidth="1"/>
    <col min="14" max="15" width="11.375"/>
  </cols>
  <sheetData>
    <row r="1" spans="1:11">
      <c r="A1" s="10" t="s">
        <v>236</v>
      </c>
      <c r="B1" s="10"/>
      <c r="C1" s="10"/>
      <c r="D1" s="10"/>
      <c r="F1" s="10" t="s">
        <v>237</v>
      </c>
      <c r="G1" s="10"/>
      <c r="H1" s="10"/>
      <c r="I1" s="10"/>
      <c r="J1" s="10"/>
      <c r="K1" s="10"/>
    </row>
    <row r="2" ht="30" customHeight="1" spans="1:11">
      <c r="A2" s="11" t="s">
        <v>25</v>
      </c>
      <c r="B2" s="11" t="s">
        <v>24</v>
      </c>
      <c r="C2" s="11" t="s">
        <v>238</v>
      </c>
      <c r="D2" s="11" t="s">
        <v>239</v>
      </c>
      <c r="F2" s="11" t="s">
        <v>25</v>
      </c>
      <c r="G2" s="11" t="s">
        <v>24</v>
      </c>
      <c r="H2" s="11" t="s">
        <v>240</v>
      </c>
      <c r="I2" s="11" t="s">
        <v>241</v>
      </c>
      <c r="J2" s="11" t="s">
        <v>242</v>
      </c>
      <c r="K2" s="11" t="s">
        <v>243</v>
      </c>
    </row>
    <row r="3" ht="23" customHeight="1" spans="1:11">
      <c r="A3" s="12" t="s">
        <v>74</v>
      </c>
      <c r="B3" s="13" t="s">
        <v>244</v>
      </c>
      <c r="C3" s="13">
        <v>352.42</v>
      </c>
      <c r="D3" s="13">
        <v>84.92</v>
      </c>
      <c r="F3" s="13" t="s">
        <v>85</v>
      </c>
      <c r="G3" s="13" t="s">
        <v>244</v>
      </c>
      <c r="H3" s="13">
        <v>711.63</v>
      </c>
      <c r="I3" s="13">
        <v>356.66</v>
      </c>
      <c r="J3" s="13">
        <v>6.79</v>
      </c>
      <c r="K3" s="13">
        <v>16.98</v>
      </c>
    </row>
    <row r="4" ht="23" customHeight="1" spans="1:15">
      <c r="A4" s="12" t="s">
        <v>78</v>
      </c>
      <c r="B4" s="13" t="s">
        <v>244</v>
      </c>
      <c r="C4" s="13">
        <v>352.42</v>
      </c>
      <c r="D4" s="13">
        <v>84.92</v>
      </c>
      <c r="F4" s="13" t="s">
        <v>81</v>
      </c>
      <c r="G4" s="13" t="s">
        <v>244</v>
      </c>
      <c r="H4" s="13">
        <v>711.63</v>
      </c>
      <c r="I4" s="13">
        <v>356.66</v>
      </c>
      <c r="J4" s="13">
        <v>6.79</v>
      </c>
      <c r="K4" s="13">
        <v>16.98</v>
      </c>
      <c r="M4" s="4"/>
      <c r="N4" s="18" t="s">
        <v>240</v>
      </c>
      <c r="O4" s="18" t="s">
        <v>241</v>
      </c>
    </row>
    <row r="5" ht="23" customHeight="1" spans="1:15">
      <c r="A5" s="12" t="s">
        <v>82</v>
      </c>
      <c r="B5" s="13" t="s">
        <v>244</v>
      </c>
      <c r="C5" s="13">
        <v>352.42</v>
      </c>
      <c r="D5" s="13">
        <v>84.92</v>
      </c>
      <c r="F5" s="13" t="s">
        <v>86</v>
      </c>
      <c r="G5" s="13" t="s">
        <v>244</v>
      </c>
      <c r="H5" s="13">
        <v>711.63</v>
      </c>
      <c r="I5" s="13">
        <v>356.66</v>
      </c>
      <c r="J5" s="13">
        <v>6.79</v>
      </c>
      <c r="K5" s="13">
        <v>16.98</v>
      </c>
      <c r="M5" s="18" t="s">
        <v>245</v>
      </c>
      <c r="N5" s="18">
        <f>C16</f>
        <v>4229.04</v>
      </c>
      <c r="O5" s="18">
        <f>D16</f>
        <v>1019.04</v>
      </c>
    </row>
    <row r="6" ht="23" customHeight="1" spans="1:15">
      <c r="A6" s="12" t="s">
        <v>66</v>
      </c>
      <c r="B6" s="13" t="s">
        <v>244</v>
      </c>
      <c r="C6" s="13">
        <v>352.42</v>
      </c>
      <c r="D6" s="13">
        <v>84.92</v>
      </c>
      <c r="F6" s="13" t="s">
        <v>70</v>
      </c>
      <c r="G6" s="13" t="s">
        <v>244</v>
      </c>
      <c r="H6" s="13">
        <v>711.63</v>
      </c>
      <c r="I6" s="13">
        <v>356.66</v>
      </c>
      <c r="J6" s="13">
        <v>6.79</v>
      </c>
      <c r="K6" s="13">
        <v>16.98</v>
      </c>
      <c r="M6" s="18" t="s">
        <v>246</v>
      </c>
      <c r="N6" s="18">
        <f>H17+J17</f>
        <v>9339.46</v>
      </c>
      <c r="O6" s="18">
        <f>I17+K17</f>
        <v>4857.32</v>
      </c>
    </row>
    <row r="7" ht="23" customHeight="1" spans="1:15">
      <c r="A7" s="12" t="s">
        <v>71</v>
      </c>
      <c r="B7" s="13" t="s">
        <v>244</v>
      </c>
      <c r="C7" s="13">
        <v>352.42</v>
      </c>
      <c r="D7" s="13">
        <v>84.92</v>
      </c>
      <c r="F7" s="13" t="s">
        <v>78</v>
      </c>
      <c r="G7" s="13" t="s">
        <v>244</v>
      </c>
      <c r="H7" s="13">
        <v>711.63</v>
      </c>
      <c r="I7" s="13">
        <v>356.66</v>
      </c>
      <c r="J7" s="13">
        <v>6.79</v>
      </c>
      <c r="K7" s="13">
        <v>16.98</v>
      </c>
      <c r="M7" s="4"/>
      <c r="N7" s="8">
        <f>N5+N6</f>
        <v>13568.5</v>
      </c>
      <c r="O7" s="8">
        <f>O5+O6</f>
        <v>5876.36</v>
      </c>
    </row>
    <row r="8" ht="23" customHeight="1" spans="1:11">
      <c r="A8" s="12" t="s">
        <v>68</v>
      </c>
      <c r="B8" s="13" t="s">
        <v>244</v>
      </c>
      <c r="C8" s="13">
        <v>352.42</v>
      </c>
      <c r="D8" s="13">
        <v>84.92</v>
      </c>
      <c r="F8" s="13" t="s">
        <v>82</v>
      </c>
      <c r="G8" s="13" t="s">
        <v>244</v>
      </c>
      <c r="H8" s="13">
        <v>711.63</v>
      </c>
      <c r="I8" s="13">
        <v>356.66</v>
      </c>
      <c r="J8" s="13">
        <v>6.79</v>
      </c>
      <c r="K8" s="13">
        <v>16.98</v>
      </c>
    </row>
    <row r="9" ht="23" customHeight="1" spans="1:11">
      <c r="A9" s="12" t="s">
        <v>87</v>
      </c>
      <c r="B9" s="13" t="s">
        <v>244</v>
      </c>
      <c r="C9" s="13">
        <v>352.42</v>
      </c>
      <c r="D9" s="13">
        <v>84.92</v>
      </c>
      <c r="F9" s="13" t="s">
        <v>87</v>
      </c>
      <c r="G9" s="13" t="s">
        <v>244</v>
      </c>
      <c r="H9" s="13">
        <v>711.63</v>
      </c>
      <c r="I9" s="13">
        <v>356.66</v>
      </c>
      <c r="J9" s="13">
        <v>6.79</v>
      </c>
      <c r="K9" s="13">
        <v>16.98</v>
      </c>
    </row>
    <row r="10" ht="23" customHeight="1" spans="1:11">
      <c r="A10" s="12" t="s">
        <v>85</v>
      </c>
      <c r="B10" s="13" t="s">
        <v>244</v>
      </c>
      <c r="C10" s="13">
        <v>352.42</v>
      </c>
      <c r="D10" s="13">
        <v>84.92</v>
      </c>
      <c r="F10" s="13" t="s">
        <v>74</v>
      </c>
      <c r="G10" s="13" t="s">
        <v>244</v>
      </c>
      <c r="H10" s="13">
        <v>711.63</v>
      </c>
      <c r="I10" s="13">
        <v>356.66</v>
      </c>
      <c r="J10" s="13">
        <v>6.79</v>
      </c>
      <c r="K10" s="13">
        <v>16.98</v>
      </c>
    </row>
    <row r="11" ht="23" customHeight="1" spans="1:11">
      <c r="A11" s="12" t="s">
        <v>86</v>
      </c>
      <c r="B11" s="13" t="s">
        <v>244</v>
      </c>
      <c r="C11" s="13">
        <v>352.42</v>
      </c>
      <c r="D11" s="13">
        <v>84.92</v>
      </c>
      <c r="F11" s="13" t="s">
        <v>80</v>
      </c>
      <c r="G11" s="13" t="s">
        <v>244</v>
      </c>
      <c r="H11" s="13">
        <v>711.63</v>
      </c>
      <c r="I11" s="13">
        <v>356.66</v>
      </c>
      <c r="J11" s="13">
        <v>6.79</v>
      </c>
      <c r="K11" s="13">
        <v>16.98</v>
      </c>
    </row>
    <row r="12" ht="23" customHeight="1" spans="1:11">
      <c r="A12" s="12" t="s">
        <v>70</v>
      </c>
      <c r="B12" s="13" t="s">
        <v>244</v>
      </c>
      <c r="C12" s="13">
        <v>352.42</v>
      </c>
      <c r="D12" s="13">
        <v>84.92</v>
      </c>
      <c r="F12" s="13" t="s">
        <v>68</v>
      </c>
      <c r="G12" s="13" t="s">
        <v>244</v>
      </c>
      <c r="H12" s="13">
        <v>711.63</v>
      </c>
      <c r="I12" s="13">
        <v>356.66</v>
      </c>
      <c r="J12" s="13">
        <v>6.79</v>
      </c>
      <c r="K12" s="13">
        <v>16.98</v>
      </c>
    </row>
    <row r="13" ht="23" customHeight="1" spans="1:11">
      <c r="A13" s="12" t="s">
        <v>64</v>
      </c>
      <c r="B13" s="13" t="s">
        <v>244</v>
      </c>
      <c r="C13" s="13">
        <v>352.42</v>
      </c>
      <c r="D13" s="13">
        <v>84.92</v>
      </c>
      <c r="F13" s="13" t="s">
        <v>66</v>
      </c>
      <c r="G13" s="13" t="s">
        <v>244</v>
      </c>
      <c r="H13" s="13">
        <v>711.63</v>
      </c>
      <c r="I13" s="13">
        <v>356.66</v>
      </c>
      <c r="J13" s="13">
        <v>6.79</v>
      </c>
      <c r="K13" s="13">
        <v>16.98</v>
      </c>
    </row>
    <row r="14" ht="23" customHeight="1" spans="1:11">
      <c r="A14" s="12" t="s">
        <v>80</v>
      </c>
      <c r="B14" s="13" t="s">
        <v>244</v>
      </c>
      <c r="C14" s="13">
        <v>352.42</v>
      </c>
      <c r="D14" s="13">
        <v>84.92</v>
      </c>
      <c r="F14" s="13" t="s">
        <v>71</v>
      </c>
      <c r="G14" s="13" t="s">
        <v>244</v>
      </c>
      <c r="H14" s="13">
        <v>711.63</v>
      </c>
      <c r="I14" s="13">
        <v>356.66</v>
      </c>
      <c r="J14" s="13">
        <v>6.79</v>
      </c>
      <c r="K14" s="13">
        <v>16.98</v>
      </c>
    </row>
    <row r="15" ht="23" customHeight="1" spans="1:11">
      <c r="A15" s="13"/>
      <c r="B15" s="13"/>
      <c r="C15" s="13"/>
      <c r="D15" s="13"/>
      <c r="F15" s="13" t="s">
        <v>64</v>
      </c>
      <c r="G15" s="13" t="s">
        <v>244</v>
      </c>
      <c r="H15" s="13">
        <v>711.63</v>
      </c>
      <c r="I15" s="13">
        <v>356.66</v>
      </c>
      <c r="J15" s="13">
        <v>6.79</v>
      </c>
      <c r="K15" s="13">
        <v>16.98</v>
      </c>
    </row>
    <row r="16" ht="23" customHeight="1" spans="1:11">
      <c r="A16" s="14" t="s">
        <v>108</v>
      </c>
      <c r="B16" s="15"/>
      <c r="C16" s="16">
        <f>SUM(C3:C15)</f>
        <v>4229.04</v>
      </c>
      <c r="D16" s="16">
        <f>SUM(D3:D15)</f>
        <v>1019.04</v>
      </c>
      <c r="F16" s="4"/>
      <c r="G16" s="13"/>
      <c r="H16" s="17"/>
      <c r="I16" s="17"/>
      <c r="J16" s="17"/>
      <c r="K16" s="17"/>
    </row>
    <row r="17" ht="30" customHeight="1" spans="6:11">
      <c r="F17" s="14" t="s">
        <v>108</v>
      </c>
      <c r="G17" s="15"/>
      <c r="H17" s="16">
        <f>SUM(H3:H16)</f>
        <v>9251.19</v>
      </c>
      <c r="I17" s="16">
        <f>SUM(I3:I16)</f>
        <v>4636.58</v>
      </c>
      <c r="J17" s="16">
        <f>SUM(J3:J16)</f>
        <v>88.27</v>
      </c>
      <c r="K17" s="16">
        <f>SUM(K3:K16)</f>
        <v>220.74</v>
      </c>
    </row>
    <row r="18" ht="30" customHeight="1"/>
    <row r="19" ht="30" customHeight="1"/>
    <row r="20" ht="27" customHeight="1"/>
    <row r="21" ht="27" customHeight="1"/>
    <row r="22" ht="27" customHeight="1"/>
  </sheetData>
  <mergeCells count="4">
    <mergeCell ref="A1:D1"/>
    <mergeCell ref="F1:K1"/>
    <mergeCell ref="A16:B16"/>
    <mergeCell ref="F17:G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7"/>
  <sheetViews>
    <sheetView workbookViewId="0">
      <pane ySplit="1" topLeftCell="A2" activePane="bottomLeft" state="frozen"/>
      <selection/>
      <selection pane="bottomLeft" activeCell="E12" sqref="E12"/>
    </sheetView>
  </sheetViews>
  <sheetFormatPr defaultColWidth="9" defaultRowHeight="13.5" outlineLevelRow="6" outlineLevelCol="7"/>
  <cols>
    <col min="1" max="8" width="12.875" customWidth="1"/>
  </cols>
  <sheetData>
    <row r="1" ht="21" customHeight="1" spans="1:8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24</v>
      </c>
      <c r="F1" s="1" t="s">
        <v>251</v>
      </c>
      <c r="G1" s="2" t="s">
        <v>57</v>
      </c>
      <c r="H1" s="2" t="s">
        <v>167</v>
      </c>
    </row>
    <row r="2" ht="21" customHeight="1" spans="1:8">
      <c r="A2" s="3">
        <v>45351</v>
      </c>
      <c r="B2" s="4" t="s">
        <v>71</v>
      </c>
      <c r="C2" s="4" t="s">
        <v>252</v>
      </c>
      <c r="D2" s="4" t="s">
        <v>86</v>
      </c>
      <c r="E2" s="4" t="s">
        <v>80</v>
      </c>
      <c r="F2" s="4" t="s">
        <v>253</v>
      </c>
      <c r="G2" s="4">
        <v>200</v>
      </c>
      <c r="H2" s="5" t="s">
        <v>20</v>
      </c>
    </row>
    <row r="3" ht="21" customHeight="1" spans="1:8">
      <c r="A3" s="6">
        <v>45416</v>
      </c>
      <c r="B3" s="7" t="s">
        <v>72</v>
      </c>
      <c r="C3" s="4" t="s">
        <v>252</v>
      </c>
      <c r="D3" s="7" t="s">
        <v>81</v>
      </c>
      <c r="E3" s="4" t="s">
        <v>68</v>
      </c>
      <c r="F3" s="7" t="s">
        <v>254</v>
      </c>
      <c r="G3" s="4">
        <v>500</v>
      </c>
      <c r="H3" s="5" t="s">
        <v>20</v>
      </c>
    </row>
    <row r="4" ht="21" customHeight="1" spans="1:8">
      <c r="A4" s="6">
        <v>45416</v>
      </c>
      <c r="B4" s="7" t="s">
        <v>83</v>
      </c>
      <c r="C4" s="4" t="s">
        <v>252</v>
      </c>
      <c r="D4" s="7" t="s">
        <v>81</v>
      </c>
      <c r="E4" s="4" t="s">
        <v>68</v>
      </c>
      <c r="F4" s="7" t="s">
        <v>254</v>
      </c>
      <c r="G4" s="4">
        <v>500</v>
      </c>
      <c r="H4" s="5" t="s">
        <v>20</v>
      </c>
    </row>
    <row r="5" ht="21" customHeight="1" spans="1:8">
      <c r="A5" s="6">
        <v>45416</v>
      </c>
      <c r="B5" s="7" t="s">
        <v>73</v>
      </c>
      <c r="C5" s="4" t="s">
        <v>252</v>
      </c>
      <c r="D5" s="7" t="s">
        <v>70</v>
      </c>
      <c r="E5" s="4" t="s">
        <v>80</v>
      </c>
      <c r="F5" s="7" t="s">
        <v>254</v>
      </c>
      <c r="G5" s="4">
        <v>500</v>
      </c>
      <c r="H5" s="5" t="s">
        <v>20</v>
      </c>
    </row>
    <row r="6" ht="21" customHeight="1" spans="1:8">
      <c r="A6" s="3"/>
      <c r="B6" s="4"/>
      <c r="C6" s="4"/>
      <c r="D6" s="4"/>
      <c r="E6" s="4"/>
      <c r="F6" s="4"/>
      <c r="G6" s="4"/>
      <c r="H6" s="5"/>
    </row>
    <row r="7" ht="21" customHeight="1" spans="1:8">
      <c r="A7" s="8" t="s">
        <v>108</v>
      </c>
      <c r="B7" s="8"/>
      <c r="C7" s="8"/>
      <c r="D7" s="8"/>
      <c r="E7" s="8"/>
      <c r="F7" s="8"/>
      <c r="G7" s="8">
        <f>SUM(G2:G6)</f>
        <v>1700</v>
      </c>
      <c r="H7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zoomScale="95" zoomScaleNormal="95" workbookViewId="0">
      <pane xSplit="3" ySplit="3" topLeftCell="D4" activePane="bottomRight" state="frozen"/>
      <selection/>
      <selection pane="topRight"/>
      <selection pane="bottomLeft"/>
      <selection pane="bottomRight" activeCell="K24" sqref="K24"/>
    </sheetView>
  </sheetViews>
  <sheetFormatPr defaultColWidth="9" defaultRowHeight="13.5"/>
  <cols>
    <col min="1" max="1" width="13.75" customWidth="1"/>
    <col min="2" max="2" width="10.375" customWidth="1"/>
    <col min="12" max="14" width="9" hidden="1" customWidth="1"/>
    <col min="15" max="15" width="10.375"/>
    <col min="17" max="18" width="9" style="217"/>
    <col min="19" max="19" width="10.125" style="68"/>
    <col min="27" max="27" width="9.375"/>
  </cols>
  <sheetData>
    <row r="1" ht="24.75" spans="1:34">
      <c r="A1" s="218" t="s">
        <v>22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30"/>
      <c r="R1" s="230"/>
      <c r="S1" s="231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</row>
    <row r="2" spans="1:34">
      <c r="A2" s="184" t="s">
        <v>23</v>
      </c>
      <c r="B2" s="184" t="s">
        <v>24</v>
      </c>
      <c r="C2" s="185" t="s">
        <v>25</v>
      </c>
      <c r="D2" s="186" t="s">
        <v>26</v>
      </c>
      <c r="E2" s="186" t="s">
        <v>27</v>
      </c>
      <c r="F2" s="186" t="s">
        <v>28</v>
      </c>
      <c r="G2" s="186"/>
      <c r="H2" s="186"/>
      <c r="I2" s="186"/>
      <c r="J2" s="186"/>
      <c r="K2" s="198" t="s">
        <v>29</v>
      </c>
      <c r="L2" s="199" t="s">
        <v>30</v>
      </c>
      <c r="M2" s="200"/>
      <c r="N2" s="201"/>
      <c r="O2" s="199" t="s">
        <v>31</v>
      </c>
      <c r="P2" s="200"/>
      <c r="Q2" s="232"/>
      <c r="R2" s="232"/>
      <c r="S2" s="233"/>
      <c r="T2" s="201"/>
      <c r="U2" s="207" t="s">
        <v>32</v>
      </c>
      <c r="V2" s="203" t="s">
        <v>33</v>
      </c>
      <c r="W2" s="204"/>
      <c r="X2" s="186" t="s">
        <v>34</v>
      </c>
      <c r="Y2" s="208" t="s">
        <v>35</v>
      </c>
      <c r="Z2" s="186" t="s">
        <v>36</v>
      </c>
      <c r="AA2" s="186"/>
      <c r="AB2" s="198" t="s">
        <v>37</v>
      </c>
      <c r="AC2" s="186" t="s">
        <v>38</v>
      </c>
      <c r="AD2" s="186"/>
      <c r="AE2" s="186"/>
      <c r="AF2" s="198" t="s">
        <v>39</v>
      </c>
      <c r="AG2" s="186" t="s">
        <v>40</v>
      </c>
      <c r="AH2" s="212" t="s">
        <v>41</v>
      </c>
    </row>
    <row r="3" ht="16.5" spans="1:34">
      <c r="A3" s="187"/>
      <c r="B3" s="187"/>
      <c r="C3" s="187"/>
      <c r="D3" s="188"/>
      <c r="E3" s="188"/>
      <c r="F3" s="189" t="s">
        <v>42</v>
      </c>
      <c r="G3" s="186" t="s">
        <v>43</v>
      </c>
      <c r="H3" s="186" t="s">
        <v>44</v>
      </c>
      <c r="I3" s="186" t="s">
        <v>45</v>
      </c>
      <c r="J3" s="186" t="s">
        <v>46</v>
      </c>
      <c r="K3" s="202"/>
      <c r="L3" s="189" t="s">
        <v>47</v>
      </c>
      <c r="M3" s="189" t="s">
        <v>48</v>
      </c>
      <c r="N3" s="203" t="s">
        <v>49</v>
      </c>
      <c r="O3" s="186" t="s">
        <v>50</v>
      </c>
      <c r="P3" s="204" t="s">
        <v>51</v>
      </c>
      <c r="Q3" s="234" t="s">
        <v>52</v>
      </c>
      <c r="R3" s="234" t="s">
        <v>53</v>
      </c>
      <c r="S3" s="209" t="s">
        <v>54</v>
      </c>
      <c r="T3" s="189" t="s">
        <v>55</v>
      </c>
      <c r="U3" s="159"/>
      <c r="V3" s="189" t="s">
        <v>56</v>
      </c>
      <c r="W3" s="209" t="s">
        <v>57</v>
      </c>
      <c r="X3" s="186"/>
      <c r="Y3" s="210"/>
      <c r="Z3" s="203" t="s">
        <v>58</v>
      </c>
      <c r="AA3" s="186" t="s">
        <v>59</v>
      </c>
      <c r="AB3" s="202"/>
      <c r="AC3" s="186" t="s">
        <v>60</v>
      </c>
      <c r="AD3" s="186" t="s">
        <v>61</v>
      </c>
      <c r="AE3" s="186" t="s">
        <v>62</v>
      </c>
      <c r="AF3" s="202"/>
      <c r="AG3" s="186"/>
      <c r="AH3" s="213"/>
    </row>
    <row r="4" ht="16.5" spans="1:34">
      <c r="A4" s="190" t="s">
        <v>63</v>
      </c>
      <c r="B4" s="187" t="s">
        <v>63</v>
      </c>
      <c r="C4" s="104" t="s">
        <v>64</v>
      </c>
      <c r="D4" s="192">
        <f ca="1" t="shared" ref="D4:D15" si="0">K4+U4+Y4</f>
        <v>17654.2652</v>
      </c>
      <c r="E4" s="192">
        <f ca="1" t="shared" ref="E4:E15" si="1">D4-AB4</f>
        <v>16530.8252</v>
      </c>
      <c r="F4" s="193">
        <v>2300</v>
      </c>
      <c r="G4" s="193">
        <v>5000</v>
      </c>
      <c r="H4" s="27">
        <f>VLOOKUP(C4,'5月考勤'!B:G,4,0)+M4</f>
        <v>23.75</v>
      </c>
      <c r="I4" s="193">
        <f>VLOOKUP(C4,'5月考勤'!B:K,10,0)</f>
        <v>0</v>
      </c>
      <c r="J4" s="205">
        <f>VLOOKUP(C4,'5月考勤'!B:G,6,0)</f>
        <v>200</v>
      </c>
      <c r="K4" s="156">
        <f>(F4+G4)/23.75*H4-I4+J4</f>
        <v>7500</v>
      </c>
      <c r="L4" s="27"/>
      <c r="M4" s="27"/>
      <c r="N4" s="193"/>
      <c r="O4" s="193">
        <f ca="1">员工绩效!E3</f>
        <v>56205.77</v>
      </c>
      <c r="P4" s="226">
        <v>0.1</v>
      </c>
      <c r="Q4" s="235"/>
      <c r="R4" s="206">
        <v>66.04</v>
      </c>
      <c r="S4" s="206">
        <f>组长绩效新!G3+组长绩效新!N3</f>
        <v>4467.6482</v>
      </c>
      <c r="T4" s="193"/>
      <c r="U4" s="156">
        <f ca="1">O4*P4+Q4+R4+S4-T4</f>
        <v>10154.2652</v>
      </c>
      <c r="V4" s="211"/>
      <c r="W4" s="206"/>
      <c r="X4" s="206"/>
      <c r="Y4" s="210">
        <f t="shared" ref="Y4:Y14" si="2">V4+W4+X4</f>
        <v>0</v>
      </c>
      <c r="Z4" s="193"/>
      <c r="AA4" s="4">
        <f>VLOOKUP(C4,短信充值!A:B,2,0)</f>
        <v>1123.44</v>
      </c>
      <c r="AB4" s="202">
        <f t="shared" ref="AB4:AB14" si="3">Z4+AA4</f>
        <v>1123.44</v>
      </c>
      <c r="AC4" s="214">
        <f>VLOOKUP(C4,社保医保!A:D,4,0)</f>
        <v>84.92</v>
      </c>
      <c r="AD4" s="214">
        <f>VLOOKUP(C4,社保医保!F:K,4,0)</f>
        <v>356.66</v>
      </c>
      <c r="AE4" s="214">
        <f>VLOOKUP(C4,社保医保!F:K,6,0)</f>
        <v>16.98</v>
      </c>
      <c r="AF4" s="202">
        <f t="shared" ref="AF4:AF14" si="4">AC4+AD4+AE4</f>
        <v>458.56</v>
      </c>
      <c r="AG4" s="239">
        <f>VLOOKUP(C4,[2]综合所得申报税款计算!$B$1:$AM$65536,38,0)</f>
        <v>1001</v>
      </c>
      <c r="AH4" s="216">
        <f ca="1" t="shared" ref="AH4:AH14" si="5">E4-AF4-AG4</f>
        <v>15071.2652</v>
      </c>
    </row>
    <row r="5" ht="16.5" spans="1:34">
      <c r="A5" s="219"/>
      <c r="B5" s="220" t="s">
        <v>65</v>
      </c>
      <c r="C5" s="104" t="s">
        <v>66</v>
      </c>
      <c r="D5" s="192">
        <f t="shared" si="0"/>
        <v>22926.080778</v>
      </c>
      <c r="E5" s="192">
        <f t="shared" si="1"/>
        <v>22185.080778</v>
      </c>
      <c r="F5" s="193">
        <v>2300</v>
      </c>
      <c r="G5" s="193">
        <v>4000</v>
      </c>
      <c r="H5" s="27">
        <f>VLOOKUP(C5,'5月考勤'!B:G,4,0)</f>
        <v>24</v>
      </c>
      <c r="I5" s="193">
        <f>VLOOKUP(C5,'5月考勤'!B:K,10,0)</f>
        <v>0</v>
      </c>
      <c r="J5" s="205">
        <f>VLOOKUP(C5,'5月考勤'!B:G,6,0)</f>
        <v>200</v>
      </c>
      <c r="K5" s="156">
        <f>(F5+G5)/24*H5-I5+J5</f>
        <v>6500</v>
      </c>
      <c r="L5" s="27"/>
      <c r="M5" s="27"/>
      <c r="N5" s="193"/>
      <c r="O5" s="193">
        <f>员工绩效!P4</f>
        <v>95564.98</v>
      </c>
      <c r="P5" s="226">
        <v>0.1</v>
      </c>
      <c r="Q5" s="235">
        <f>员工绩效!R4</f>
        <v>300</v>
      </c>
      <c r="R5" s="235"/>
      <c r="S5" s="206">
        <f>组长绩效新!P11</f>
        <v>6569.582778</v>
      </c>
      <c r="T5" s="193"/>
      <c r="U5" s="156">
        <f t="shared" ref="U4:U18" si="6">O5*P5+Q5+S5-T5</f>
        <v>16426.080778</v>
      </c>
      <c r="V5" s="211"/>
      <c r="W5" s="206"/>
      <c r="X5" s="206"/>
      <c r="Y5" s="210">
        <f t="shared" si="2"/>
        <v>0</v>
      </c>
      <c r="Z5" s="193"/>
      <c r="AA5" s="4">
        <f>VLOOKUP(C5,短信充值!A:B,2,0)</f>
        <v>741</v>
      </c>
      <c r="AB5" s="202">
        <f t="shared" si="3"/>
        <v>741</v>
      </c>
      <c r="AC5" s="214">
        <f>VLOOKUP(C5,社保医保!A:D,4,0)</f>
        <v>84.92</v>
      </c>
      <c r="AD5" s="214">
        <f>VLOOKUP(C5,社保医保!F:K,4,0)</f>
        <v>356.66</v>
      </c>
      <c r="AE5" s="214">
        <f>VLOOKUP(C5,社保医保!F:K,6,0)</f>
        <v>16.98</v>
      </c>
      <c r="AF5" s="202">
        <f t="shared" si="4"/>
        <v>458.56</v>
      </c>
      <c r="AG5" s="239">
        <f>VLOOKUP(C5,[2]综合所得申报税款计算!$B$1:$AM$65536,38,0)</f>
        <v>1662.15</v>
      </c>
      <c r="AH5" s="216">
        <f t="shared" si="5"/>
        <v>20064.370778</v>
      </c>
    </row>
    <row r="6" ht="16.5" spans="1:34">
      <c r="A6" s="221">
        <v>58</v>
      </c>
      <c r="B6" s="108" t="s">
        <v>67</v>
      </c>
      <c r="C6" s="104" t="s">
        <v>68</v>
      </c>
      <c r="D6" s="192">
        <f ca="1" t="shared" si="0"/>
        <v>14163.3962</v>
      </c>
      <c r="E6" s="192">
        <f ca="1" t="shared" si="1"/>
        <v>13212.1312</v>
      </c>
      <c r="F6" s="193">
        <v>2300</v>
      </c>
      <c r="G6" s="193">
        <v>1000</v>
      </c>
      <c r="H6" s="27">
        <f>VLOOKUP(C6,'5月考勤'!B:G,4,0)</f>
        <v>25</v>
      </c>
      <c r="I6" s="193">
        <f>VLOOKUP(C6,'5月考勤'!B:K,10,0)</f>
        <v>0</v>
      </c>
      <c r="J6" s="205">
        <f>VLOOKUP(C6,'5月考勤'!B:G,6,0)</f>
        <v>200</v>
      </c>
      <c r="K6" s="156">
        <f t="shared" ref="K6:K14" si="7">(F6+G6)/25*H6-I6+J6</f>
        <v>3500</v>
      </c>
      <c r="L6" s="27"/>
      <c r="M6" s="27"/>
      <c r="N6" s="193"/>
      <c r="O6" s="227">
        <f ca="1">VLOOKUP(C6,员工绩效!B:W,19,0)</f>
        <v>112384.29</v>
      </c>
      <c r="P6" s="228">
        <f ca="1">VLOOKUP(C6,员工绩效!B:V,20,0)</f>
        <v>0.06</v>
      </c>
      <c r="Q6" s="138">
        <f ca="1">VLOOKUP(C6,员工绩效!B:W,21,0)</f>
        <v>600</v>
      </c>
      <c r="R6" s="138"/>
      <c r="S6" s="206">
        <f>组长绩效新!G7</f>
        <v>3320.3388</v>
      </c>
      <c r="T6" s="206"/>
      <c r="U6" s="156">
        <f ca="1" t="shared" si="6"/>
        <v>10663.3962</v>
      </c>
      <c r="V6" s="211"/>
      <c r="W6" s="206"/>
      <c r="X6" s="206"/>
      <c r="Y6" s="210">
        <f t="shared" si="2"/>
        <v>0</v>
      </c>
      <c r="Z6" s="193"/>
      <c r="AA6" s="4">
        <f>VLOOKUP(C6,短信充值!A:B,2,0)</f>
        <v>951.265</v>
      </c>
      <c r="AB6" s="202">
        <f t="shared" si="3"/>
        <v>951.265</v>
      </c>
      <c r="AC6" s="214">
        <f>VLOOKUP(C6,社保医保!A:D,4,0)</f>
        <v>84.92</v>
      </c>
      <c r="AD6" s="214">
        <f>VLOOKUP(C6,社保医保!F:K,4,0)</f>
        <v>356.66</v>
      </c>
      <c r="AE6" s="214">
        <f>VLOOKUP(C6,社保医保!F:K,6,0)</f>
        <v>16.98</v>
      </c>
      <c r="AF6" s="202">
        <f t="shared" si="4"/>
        <v>458.56</v>
      </c>
      <c r="AG6" s="239">
        <f>VLOOKUP(C6,[2]综合所得申报税款计算!$B$1:$AM$65536,38,0)</f>
        <v>232.6</v>
      </c>
      <c r="AH6" s="216">
        <f ca="1" t="shared" si="5"/>
        <v>12520.9712</v>
      </c>
    </row>
    <row r="7" ht="16.5" spans="1:34">
      <c r="A7" s="221"/>
      <c r="B7" s="108" t="s">
        <v>69</v>
      </c>
      <c r="C7" s="104" t="s">
        <v>70</v>
      </c>
      <c r="D7" s="192">
        <f ca="1" t="shared" si="0"/>
        <v>13247.6324</v>
      </c>
      <c r="E7" s="192">
        <f ca="1" t="shared" si="1"/>
        <v>12660.8924</v>
      </c>
      <c r="F7" s="193">
        <v>2300</v>
      </c>
      <c r="G7" s="193">
        <v>300</v>
      </c>
      <c r="H7" s="27">
        <f>VLOOKUP(C7,'5月考勤'!B:G,4,0)</f>
        <v>25</v>
      </c>
      <c r="I7" s="193">
        <f>VLOOKUP(C7,'5月考勤'!B:K,10,0)</f>
        <v>0</v>
      </c>
      <c r="J7" s="205">
        <f>VLOOKUP(C7,'5月考勤'!B:G,6,0)</f>
        <v>200</v>
      </c>
      <c r="K7" s="156">
        <f t="shared" si="7"/>
        <v>2800</v>
      </c>
      <c r="L7" s="27"/>
      <c r="M7" s="27"/>
      <c r="N7" s="193"/>
      <c r="O7" s="227">
        <f ca="1">VLOOKUP(C7,员工绩效!B:W,19,0)</f>
        <v>127823.32</v>
      </c>
      <c r="P7" s="228">
        <f ca="1">VLOOKUP(C7,员工绩效!B:V,20,0)</f>
        <v>0.07</v>
      </c>
      <c r="Q7" s="138">
        <f ca="1">VLOOKUP(C7,员工绩效!B:W,21,0)</f>
        <v>1000</v>
      </c>
      <c r="R7" s="138"/>
      <c r="S7" s="206"/>
      <c r="T7" s="206"/>
      <c r="U7" s="156">
        <f ca="1" t="shared" si="6"/>
        <v>9947.6324</v>
      </c>
      <c r="V7" s="211"/>
      <c r="W7" s="206"/>
      <c r="X7" s="206">
        <f>内推!G5</f>
        <v>500</v>
      </c>
      <c r="Y7" s="210">
        <f t="shared" si="2"/>
        <v>500</v>
      </c>
      <c r="Z7" s="193"/>
      <c r="AA7" s="4">
        <f>VLOOKUP(C7,短信充值!A:B,2,0)</f>
        <v>586.74</v>
      </c>
      <c r="AB7" s="202">
        <f t="shared" si="3"/>
        <v>586.74</v>
      </c>
      <c r="AC7" s="214">
        <f>VLOOKUP(C7,社保医保!A:D,4,0)</f>
        <v>84.92</v>
      </c>
      <c r="AD7" s="214">
        <f>VLOOKUP(C7,社保医保!F:K,4,0)</f>
        <v>356.66</v>
      </c>
      <c r="AE7" s="214">
        <f>VLOOKUP(C7,社保医保!F:K,6,0)</f>
        <v>16.98</v>
      </c>
      <c r="AF7" s="202">
        <f t="shared" si="4"/>
        <v>458.56</v>
      </c>
      <c r="AG7" s="239">
        <f>VLOOKUP(C7,[2]综合所得申报税款计算!$B$1:$AM$65536,38,0)</f>
        <v>216.07</v>
      </c>
      <c r="AH7" s="216">
        <f ca="1" t="shared" si="5"/>
        <v>11986.2624</v>
      </c>
    </row>
    <row r="8" ht="16.5" spans="1:34">
      <c r="A8" s="221"/>
      <c r="B8" s="108" t="s">
        <v>69</v>
      </c>
      <c r="C8" s="109" t="s">
        <v>71</v>
      </c>
      <c r="D8" s="192">
        <f ca="1" t="shared" si="0"/>
        <v>10145.2546</v>
      </c>
      <c r="E8" s="192">
        <f ca="1" t="shared" si="1"/>
        <v>9367.1546</v>
      </c>
      <c r="F8" s="193">
        <v>2300</v>
      </c>
      <c r="G8" s="193">
        <v>300</v>
      </c>
      <c r="H8" s="27">
        <f>VLOOKUP(C8,'5月考勤'!B:G,4,0)</f>
        <v>25</v>
      </c>
      <c r="I8" s="193">
        <f>VLOOKUP(C8,'5月考勤'!B:K,10,0)</f>
        <v>0</v>
      </c>
      <c r="J8" s="205">
        <f>VLOOKUP(C8,'5月考勤'!B:G,6,0)</f>
        <v>200</v>
      </c>
      <c r="K8" s="156">
        <f t="shared" si="7"/>
        <v>2800</v>
      </c>
      <c r="L8" s="27"/>
      <c r="M8" s="27"/>
      <c r="N8" s="193"/>
      <c r="O8" s="227">
        <f ca="1">VLOOKUP(C8,员工绩效!B:W,19,0)</f>
        <v>112420.91</v>
      </c>
      <c r="P8" s="228">
        <f ca="1">VLOOKUP(C8,员工绩效!B:V,20,0)</f>
        <v>0.06</v>
      </c>
      <c r="Q8" s="138">
        <f ca="1">VLOOKUP(C8,员工绩效!B:W,21,0)</f>
        <v>600</v>
      </c>
      <c r="R8" s="138"/>
      <c r="S8" s="206"/>
      <c r="T8" s="206"/>
      <c r="U8" s="156">
        <f ca="1" t="shared" si="6"/>
        <v>7345.2546</v>
      </c>
      <c r="V8" s="211"/>
      <c r="W8" s="206"/>
      <c r="X8" s="206"/>
      <c r="Y8" s="210">
        <f t="shared" si="2"/>
        <v>0</v>
      </c>
      <c r="Z8" s="193"/>
      <c r="AA8" s="4">
        <f>VLOOKUP(C8,短信充值!A:B,2,0)</f>
        <v>778.1</v>
      </c>
      <c r="AB8" s="202">
        <f t="shared" si="3"/>
        <v>778.1</v>
      </c>
      <c r="AC8" s="214">
        <f>VLOOKUP(C8,社保医保!A:D,4,0)</f>
        <v>84.92</v>
      </c>
      <c r="AD8" s="214">
        <f>VLOOKUP(C8,社保医保!F:K,4,0)</f>
        <v>356.66</v>
      </c>
      <c r="AE8" s="214">
        <f>VLOOKUP(C8,社保医保!F:K,6,0)</f>
        <v>16.98</v>
      </c>
      <c r="AF8" s="202">
        <f t="shared" si="4"/>
        <v>458.56</v>
      </c>
      <c r="AG8" s="239">
        <f>VLOOKUP(C8,[2]综合所得申报税款计算!$B$1:$AM$65536,38,0)</f>
        <v>117.26</v>
      </c>
      <c r="AH8" s="216">
        <f ca="1" t="shared" si="5"/>
        <v>8791.3346</v>
      </c>
    </row>
    <row r="9" ht="16.5" spans="1:34">
      <c r="A9" s="221"/>
      <c r="B9" s="108" t="s">
        <v>69</v>
      </c>
      <c r="C9" s="109" t="s">
        <v>72</v>
      </c>
      <c r="D9" s="192">
        <f ca="1" t="shared" si="0"/>
        <v>5862.151</v>
      </c>
      <c r="E9" s="192">
        <f ca="1" t="shared" si="1"/>
        <v>5042.461</v>
      </c>
      <c r="F9" s="193">
        <v>2300</v>
      </c>
      <c r="G9" s="193">
        <v>300</v>
      </c>
      <c r="H9" s="27">
        <f>VLOOKUP(C9,'5月考勤'!B:G,4,0)</f>
        <v>23</v>
      </c>
      <c r="I9" s="193">
        <f>VLOOKUP(C9,'5月考勤'!B:K,10,0)</f>
        <v>0</v>
      </c>
      <c r="J9" s="205">
        <f>VLOOKUP(C9,'5月考勤'!B:G,6,0)</f>
        <v>0</v>
      </c>
      <c r="K9" s="156">
        <f t="shared" si="7"/>
        <v>2392</v>
      </c>
      <c r="L9" s="27"/>
      <c r="M9" s="27"/>
      <c r="N9" s="193"/>
      <c r="O9" s="227">
        <f ca="1">VLOOKUP(C9,员工绩效!B:W,19,0)</f>
        <v>69403.02</v>
      </c>
      <c r="P9" s="228">
        <f ca="1">VLOOKUP(C9,员工绩效!B:V,20,0)</f>
        <v>0.05</v>
      </c>
      <c r="Q9" s="138"/>
      <c r="R9" s="138"/>
      <c r="S9" s="206"/>
      <c r="T9" s="206"/>
      <c r="U9" s="156">
        <f ca="1" t="shared" si="6"/>
        <v>3470.151</v>
      </c>
      <c r="V9" s="211"/>
      <c r="W9" s="206"/>
      <c r="X9" s="206"/>
      <c r="Y9" s="210">
        <f t="shared" si="2"/>
        <v>0</v>
      </c>
      <c r="Z9" s="193"/>
      <c r="AA9" s="4">
        <f>VLOOKUP(C9,短信充值!A:B,2,0)</f>
        <v>819.69</v>
      </c>
      <c r="AB9" s="202">
        <f t="shared" si="3"/>
        <v>819.69</v>
      </c>
      <c r="AC9" s="214"/>
      <c r="AD9" s="214"/>
      <c r="AE9" s="214"/>
      <c r="AF9" s="202">
        <f t="shared" si="4"/>
        <v>0</v>
      </c>
      <c r="AG9" s="239">
        <f>VLOOKUP(C9,[2]综合所得申报税款计算!$B$1:$AM$65536,38,0)</f>
        <v>1.27</v>
      </c>
      <c r="AH9" s="216">
        <f ca="1" t="shared" si="5"/>
        <v>5041.191</v>
      </c>
    </row>
    <row r="10" ht="16.5" spans="1:34">
      <c r="A10" s="221"/>
      <c r="B10" s="108" t="s">
        <v>69</v>
      </c>
      <c r="C10" s="109" t="s">
        <v>73</v>
      </c>
      <c r="D10" s="192">
        <f ca="1" t="shared" si="0"/>
        <v>6409.189</v>
      </c>
      <c r="E10" s="192">
        <f ca="1" t="shared" si="1"/>
        <v>5555.179</v>
      </c>
      <c r="F10" s="193">
        <v>2300</v>
      </c>
      <c r="G10" s="193">
        <v>300</v>
      </c>
      <c r="H10" s="27">
        <f>VLOOKUP(C10,'5月考勤'!B:G,4,0)</f>
        <v>25</v>
      </c>
      <c r="I10" s="193">
        <f>VLOOKUP(C10,'5月考勤'!B:K,10,0)</f>
        <v>20</v>
      </c>
      <c r="J10" s="205">
        <f>VLOOKUP(C10,'5月考勤'!B:G,6,0)</f>
        <v>200</v>
      </c>
      <c r="K10" s="156">
        <f t="shared" si="7"/>
        <v>2780</v>
      </c>
      <c r="L10" s="27"/>
      <c r="M10" s="27"/>
      <c r="N10" s="193"/>
      <c r="O10" s="227">
        <f ca="1">VLOOKUP(C10,员工绩效!B:W,19,0)</f>
        <v>72583.78</v>
      </c>
      <c r="P10" s="228">
        <f ca="1">VLOOKUP(C10,员工绩效!B:V,20,0)</f>
        <v>0.05</v>
      </c>
      <c r="Q10" s="138"/>
      <c r="R10" s="138"/>
      <c r="S10" s="206"/>
      <c r="T10" s="206"/>
      <c r="U10" s="156">
        <f ca="1" t="shared" si="6"/>
        <v>3629.189</v>
      </c>
      <c r="V10" s="211"/>
      <c r="W10" s="206"/>
      <c r="X10" s="206"/>
      <c r="Y10" s="210">
        <f t="shared" si="2"/>
        <v>0</v>
      </c>
      <c r="Z10" s="193"/>
      <c r="AA10" s="4">
        <f>VLOOKUP(C10,短信充值!A:B,2,0)</f>
        <v>854.01</v>
      </c>
      <c r="AB10" s="202">
        <f t="shared" si="3"/>
        <v>854.01</v>
      </c>
      <c r="AC10" s="214"/>
      <c r="AD10" s="214"/>
      <c r="AE10" s="214"/>
      <c r="AF10" s="202">
        <f t="shared" si="4"/>
        <v>0</v>
      </c>
      <c r="AG10" s="239">
        <f>VLOOKUP(C10,[2]综合所得申报税款计算!$B$1:$AM$65536,38,0)</f>
        <v>16.66</v>
      </c>
      <c r="AH10" s="216">
        <f ca="1" t="shared" si="5"/>
        <v>5538.519</v>
      </c>
    </row>
    <row r="11" ht="16.5" spans="1:34">
      <c r="A11" s="221"/>
      <c r="B11" s="108" t="s">
        <v>69</v>
      </c>
      <c r="C11" s="104" t="s">
        <v>74</v>
      </c>
      <c r="D11" s="192">
        <f ca="1" t="shared" si="0"/>
        <v>18594.817</v>
      </c>
      <c r="E11" s="192">
        <f ca="1" t="shared" si="1"/>
        <v>17564.552</v>
      </c>
      <c r="F11" s="193">
        <v>2300</v>
      </c>
      <c r="G11" s="193">
        <v>300</v>
      </c>
      <c r="H11" s="27">
        <f>VLOOKUP(C11,'5月考勤'!B:G,4,0)</f>
        <v>25</v>
      </c>
      <c r="I11" s="193">
        <f>VLOOKUP(C11,'5月考勤'!B:K,10,0)</f>
        <v>0</v>
      </c>
      <c r="J11" s="205">
        <f>VLOOKUP(C11,'5月考勤'!B:G,6,0)</f>
        <v>200</v>
      </c>
      <c r="K11" s="156">
        <f t="shared" si="7"/>
        <v>2800</v>
      </c>
      <c r="L11" s="27"/>
      <c r="M11" s="27"/>
      <c r="N11" s="193"/>
      <c r="O11" s="227">
        <f ca="1">VLOOKUP(C11,员工绩效!B:W,19,0)</f>
        <v>158831.3</v>
      </c>
      <c r="P11" s="228">
        <f ca="1">VLOOKUP(C11,员工绩效!B:V,20,0)</f>
        <v>0.09</v>
      </c>
      <c r="Q11" s="138">
        <f ca="1">VLOOKUP(C11,员工绩效!B:W,21,0)</f>
        <v>1500</v>
      </c>
      <c r="R11" s="138"/>
      <c r="S11" s="206"/>
      <c r="T11" s="206"/>
      <c r="U11" s="156">
        <f ca="1" t="shared" si="6"/>
        <v>15794.817</v>
      </c>
      <c r="V11" s="211"/>
      <c r="W11" s="206"/>
      <c r="X11" s="206"/>
      <c r="Y11" s="210">
        <f t="shared" si="2"/>
        <v>0</v>
      </c>
      <c r="Z11" s="193"/>
      <c r="AA11" s="4">
        <f>VLOOKUP(C11,短信充值!A:B,2,0)</f>
        <v>1030.265</v>
      </c>
      <c r="AB11" s="202">
        <f t="shared" si="3"/>
        <v>1030.265</v>
      </c>
      <c r="AC11" s="214">
        <f>VLOOKUP(C11,社保医保!A:D,4,0)</f>
        <v>84.92</v>
      </c>
      <c r="AD11" s="214">
        <f>VLOOKUP(C11,社保医保!F:K,4,0)</f>
        <v>356.66</v>
      </c>
      <c r="AE11" s="214">
        <f>VLOOKUP(C11,社保医保!F:K,6,0)</f>
        <v>16.98</v>
      </c>
      <c r="AF11" s="202">
        <f t="shared" si="4"/>
        <v>458.56</v>
      </c>
      <c r="AG11" s="239">
        <f>VLOOKUP(C11,[2]综合所得申报税款计算!$B$1:$AM$65536,38,0)</f>
        <v>343.9</v>
      </c>
      <c r="AH11" s="216">
        <f ca="1" t="shared" si="5"/>
        <v>16762.092</v>
      </c>
    </row>
    <row r="12" ht="16.5" spans="1:34">
      <c r="A12" s="221"/>
      <c r="B12" s="108" t="s">
        <v>69</v>
      </c>
      <c r="C12" s="104" t="s">
        <v>75</v>
      </c>
      <c r="D12" s="192">
        <f ca="1" t="shared" si="0"/>
        <v>1223.3455</v>
      </c>
      <c r="E12" s="192">
        <f ca="1" t="shared" si="1"/>
        <v>1197.4505</v>
      </c>
      <c r="F12" s="193">
        <v>2300</v>
      </c>
      <c r="G12" s="193">
        <v>300</v>
      </c>
      <c r="H12" s="27">
        <f>VLOOKUP(C12,'5月考勤'!B:G,4,0)</f>
        <v>11</v>
      </c>
      <c r="I12" s="193">
        <f>VLOOKUP(C12,'5月考勤'!B:K,10,0)</f>
        <v>0</v>
      </c>
      <c r="J12" s="205">
        <f>VLOOKUP(C12,'5月考勤'!B:G,6,0)</f>
        <v>0</v>
      </c>
      <c r="K12" s="156">
        <f t="shared" si="7"/>
        <v>1144</v>
      </c>
      <c r="L12" s="27"/>
      <c r="M12" s="27"/>
      <c r="N12" s="193"/>
      <c r="O12" s="227">
        <f ca="1">VLOOKUP(C12,员工绩效!B:W,19,0)</f>
        <v>2644.85</v>
      </c>
      <c r="P12" s="228">
        <f ca="1">VLOOKUP(C12,员工绩效!B:V,20,0)</f>
        <v>0.03</v>
      </c>
      <c r="Q12" s="138"/>
      <c r="R12" s="138"/>
      <c r="S12" s="206"/>
      <c r="T12" s="206"/>
      <c r="U12" s="156">
        <f ca="1" t="shared" si="6"/>
        <v>79.3455</v>
      </c>
      <c r="V12" s="236"/>
      <c r="W12" s="206"/>
      <c r="X12" s="206"/>
      <c r="Y12" s="210">
        <f t="shared" si="2"/>
        <v>0</v>
      </c>
      <c r="Z12" s="193"/>
      <c r="AA12" s="4">
        <f>VLOOKUP(C12,短信充值!A:B,2,0)</f>
        <v>25.895</v>
      </c>
      <c r="AB12" s="202">
        <f t="shared" si="3"/>
        <v>25.895</v>
      </c>
      <c r="AC12" s="214"/>
      <c r="AD12" s="214"/>
      <c r="AE12" s="214"/>
      <c r="AF12" s="202">
        <f t="shared" si="4"/>
        <v>0</v>
      </c>
      <c r="AG12" s="239">
        <f>VLOOKUP(C12,[2]综合所得申报税款计算!$B$1:$AM$65536,38,0)</f>
        <v>0</v>
      </c>
      <c r="AH12" s="216">
        <f ca="1" t="shared" si="5"/>
        <v>1197.4505</v>
      </c>
    </row>
    <row r="13" ht="16.5" spans="1:34">
      <c r="A13" s="221"/>
      <c r="B13" s="108" t="s">
        <v>69</v>
      </c>
      <c r="C13" s="104" t="s">
        <v>76</v>
      </c>
      <c r="D13" s="192">
        <f ca="1" t="shared" si="0"/>
        <v>1176.163</v>
      </c>
      <c r="E13" s="192">
        <f ca="1" t="shared" si="1"/>
        <v>1143.113</v>
      </c>
      <c r="F13" s="193">
        <v>2300</v>
      </c>
      <c r="G13" s="193">
        <v>300</v>
      </c>
      <c r="H13" s="27">
        <f>VLOOKUP(C13,'5月考勤'!B:G,4,0)</f>
        <v>11</v>
      </c>
      <c r="I13" s="193">
        <f>VLOOKUP(C13,'5月考勤'!B:K,10,0)</f>
        <v>0</v>
      </c>
      <c r="J13" s="205">
        <f>VLOOKUP(C13,'5月考勤'!B:G,6,0)</f>
        <v>0</v>
      </c>
      <c r="K13" s="156">
        <f t="shared" si="7"/>
        <v>1144</v>
      </c>
      <c r="L13" s="27"/>
      <c r="M13" s="27"/>
      <c r="N13" s="193"/>
      <c r="O13" s="227">
        <f ca="1">VLOOKUP(C13,员工绩效!B:W,19,0)</f>
        <v>1072.1</v>
      </c>
      <c r="P13" s="228">
        <f ca="1">VLOOKUP(C13,员工绩效!B:V,20,0)</f>
        <v>0.03</v>
      </c>
      <c r="Q13" s="138"/>
      <c r="R13" s="138"/>
      <c r="S13" s="206"/>
      <c r="T13" s="206"/>
      <c r="U13" s="156">
        <f ca="1" t="shared" si="6"/>
        <v>32.163</v>
      </c>
      <c r="V13" s="236"/>
      <c r="W13" s="206"/>
      <c r="X13" s="206"/>
      <c r="Y13" s="210">
        <f t="shared" si="2"/>
        <v>0</v>
      </c>
      <c r="Z13" s="193"/>
      <c r="AA13" s="4">
        <f>VLOOKUP(C13,短信充值!A:B,2,0)</f>
        <v>33.05</v>
      </c>
      <c r="AB13" s="202">
        <f t="shared" si="3"/>
        <v>33.05</v>
      </c>
      <c r="AC13" s="214"/>
      <c r="AD13" s="214"/>
      <c r="AE13" s="214"/>
      <c r="AF13" s="202">
        <f t="shared" si="4"/>
        <v>0</v>
      </c>
      <c r="AG13" s="239">
        <f>VLOOKUP(C13,[2]综合所得申报税款计算!$B$1:$AM$65536,38,0)</f>
        <v>0</v>
      </c>
      <c r="AH13" s="216">
        <f ca="1" t="shared" si="5"/>
        <v>1143.113</v>
      </c>
    </row>
    <row r="14" ht="16.5" spans="1:34">
      <c r="A14" s="222" t="s">
        <v>77</v>
      </c>
      <c r="B14" s="108" t="s">
        <v>69</v>
      </c>
      <c r="C14" s="104" t="s">
        <v>78</v>
      </c>
      <c r="D14" s="192">
        <f ca="1" t="shared" si="0"/>
        <v>9031.17</v>
      </c>
      <c r="E14" s="192">
        <f ca="1" t="shared" si="1"/>
        <v>8333.49</v>
      </c>
      <c r="F14" s="193">
        <v>2300</v>
      </c>
      <c r="G14" s="193">
        <v>300</v>
      </c>
      <c r="H14" s="27">
        <f>VLOOKUP(C14,'5月考勤'!B:G,4,0)</f>
        <v>25</v>
      </c>
      <c r="I14" s="193">
        <f>VLOOKUP(C14,'5月考勤'!B:K,10,0)</f>
        <v>0</v>
      </c>
      <c r="J14" s="205">
        <f>VLOOKUP(C14,'5月考勤'!B:G,6,0)</f>
        <v>200</v>
      </c>
      <c r="K14" s="156">
        <f t="shared" si="7"/>
        <v>2800</v>
      </c>
      <c r="L14" s="27"/>
      <c r="M14" s="27"/>
      <c r="N14" s="193"/>
      <c r="O14" s="193">
        <f ca="1">员工绩效!E5+员工绩效!P5</f>
        <v>62311.7</v>
      </c>
      <c r="P14" s="226">
        <v>0.1</v>
      </c>
      <c r="Q14" s="235"/>
      <c r="R14" s="235"/>
      <c r="S14" s="206"/>
      <c r="T14" s="206"/>
      <c r="U14" s="156">
        <f ca="1" t="shared" si="6"/>
        <v>6231.17</v>
      </c>
      <c r="V14" s="236"/>
      <c r="W14" s="206"/>
      <c r="X14" s="206"/>
      <c r="Y14" s="210">
        <f t="shared" si="2"/>
        <v>0</v>
      </c>
      <c r="Z14" s="193">
        <v>300</v>
      </c>
      <c r="AA14" s="4">
        <f>VLOOKUP(C14,短信充值!A:B,2,0)</f>
        <v>397.68</v>
      </c>
      <c r="AB14" s="202">
        <f t="shared" si="3"/>
        <v>697.68</v>
      </c>
      <c r="AC14" s="214">
        <f>VLOOKUP(C14,社保医保!A:D,4,0)</f>
        <v>84.92</v>
      </c>
      <c r="AD14" s="214">
        <f>VLOOKUP(C14,社保医保!F:K,4,0)</f>
        <v>356.66</v>
      </c>
      <c r="AE14" s="214">
        <f>VLOOKUP(C14,社保医保!F:K,6,0)</f>
        <v>16.98</v>
      </c>
      <c r="AF14" s="202">
        <f t="shared" si="4"/>
        <v>458.56</v>
      </c>
      <c r="AG14" s="239">
        <f>VLOOKUP(C14,[2]综合所得申报税款计算!$B$1:$AM$65536,38,0)</f>
        <v>86.25</v>
      </c>
      <c r="AH14" s="216">
        <f ca="1" t="shared" si="5"/>
        <v>7788.68</v>
      </c>
    </row>
    <row r="15" ht="16.5" spans="1:34">
      <c r="A15" s="223" t="s">
        <v>79</v>
      </c>
      <c r="B15" s="108" t="s">
        <v>67</v>
      </c>
      <c r="C15" s="104" t="s">
        <v>80</v>
      </c>
      <c r="D15" s="192">
        <f ca="1" t="shared" si="0"/>
        <v>15283.2506</v>
      </c>
      <c r="E15" s="192">
        <f ca="1" t="shared" si="1"/>
        <v>14453.9706</v>
      </c>
      <c r="F15" s="193">
        <v>2300</v>
      </c>
      <c r="G15" s="193">
        <v>1000</v>
      </c>
      <c r="H15" s="27">
        <f>VLOOKUP(C15,'5月考勤'!B:G,4,0)</f>
        <v>25</v>
      </c>
      <c r="I15" s="193">
        <f>VLOOKUP(C15,'5月考勤'!B:K,10,0)</f>
        <v>0</v>
      </c>
      <c r="J15" s="205">
        <f>VLOOKUP(C15,'5月考勤'!B:G,6,0)</f>
        <v>200</v>
      </c>
      <c r="K15" s="156">
        <f t="shared" ref="K15:K22" si="8">(F15+G15)/25*H15-I15+J15</f>
        <v>3500</v>
      </c>
      <c r="L15" s="27"/>
      <c r="M15" s="27"/>
      <c r="N15" s="193"/>
      <c r="O15" s="193">
        <f ca="1">VLOOKUP(C15,员工绩效!B:S,15,0)</f>
        <v>80046.81</v>
      </c>
      <c r="P15" s="226">
        <v>0.1</v>
      </c>
      <c r="Q15" s="235">
        <v>300</v>
      </c>
      <c r="R15" s="235"/>
      <c r="S15" s="206">
        <f>组长绩效新!F17</f>
        <v>3478.5696</v>
      </c>
      <c r="T15" s="206"/>
      <c r="U15" s="156">
        <f ca="1" t="shared" si="6"/>
        <v>11783.2506</v>
      </c>
      <c r="V15" s="211"/>
      <c r="W15" s="206"/>
      <c r="X15" s="206"/>
      <c r="Y15" s="210">
        <f t="shared" ref="Y15:Y22" si="9">V15+W15+X15</f>
        <v>0</v>
      </c>
      <c r="Z15" s="193">
        <v>500</v>
      </c>
      <c r="AA15" s="4">
        <f>VLOOKUP(C15,短信充值!A:B,2,0)</f>
        <v>329.28</v>
      </c>
      <c r="AB15" s="202">
        <f t="shared" ref="AB15:AB22" si="10">Z15+AA15</f>
        <v>829.28</v>
      </c>
      <c r="AC15" s="214">
        <f>VLOOKUP(C15,社保医保!A:D,4,0)</f>
        <v>84.92</v>
      </c>
      <c r="AD15" s="214">
        <f>VLOOKUP(C15,社保医保!F:K,4,0)</f>
        <v>356.66</v>
      </c>
      <c r="AE15" s="214">
        <f>VLOOKUP(C15,社保医保!F:K,6,0)</f>
        <v>16.98</v>
      </c>
      <c r="AF15" s="202">
        <f t="shared" ref="AF15:AF22" si="11">AC15+AD15+AE15</f>
        <v>458.56</v>
      </c>
      <c r="AG15" s="239">
        <f>VLOOKUP(C15,[2]综合所得申报税款计算!$B$1:$AM$65536,38,0)</f>
        <v>269.86</v>
      </c>
      <c r="AH15" s="216">
        <f ca="1" t="shared" ref="AH15:AH22" si="12">E15-AF15-AG15</f>
        <v>13725.5506</v>
      </c>
    </row>
    <row r="16" ht="16.5" spans="1:34">
      <c r="A16" s="221"/>
      <c r="B16" s="108" t="s">
        <v>69</v>
      </c>
      <c r="C16" s="104" t="s">
        <v>81</v>
      </c>
      <c r="D16" s="192">
        <f ca="1" t="shared" ref="D16:D22" si="13">K16+U16+Y16</f>
        <v>8863.259</v>
      </c>
      <c r="E16" s="192">
        <f ca="1" t="shared" ref="E16:E22" si="14">D16-AB16</f>
        <v>8505.779</v>
      </c>
      <c r="F16" s="193">
        <v>2300</v>
      </c>
      <c r="G16" s="193">
        <v>300</v>
      </c>
      <c r="H16" s="27">
        <f>VLOOKUP(C16,'5月考勤'!B:G,4,0)</f>
        <v>25</v>
      </c>
      <c r="I16" s="193">
        <f>VLOOKUP(C16,'5月考勤'!B:K,10,0)</f>
        <v>0</v>
      </c>
      <c r="J16" s="205">
        <f>VLOOKUP(C16,'5月考勤'!B:G,6,0)</f>
        <v>200</v>
      </c>
      <c r="K16" s="156">
        <f t="shared" si="8"/>
        <v>2800</v>
      </c>
      <c r="L16" s="27"/>
      <c r="M16" s="27"/>
      <c r="N16" s="193"/>
      <c r="O16" s="193">
        <f ca="1">VLOOKUP(C16,员工绩效!B:S,15,0)</f>
        <v>50632.59</v>
      </c>
      <c r="P16" s="226">
        <v>0.1</v>
      </c>
      <c r="Q16" s="235"/>
      <c r="R16" s="235"/>
      <c r="S16" s="206"/>
      <c r="T16" s="206"/>
      <c r="U16" s="156">
        <f ca="1" t="shared" si="6"/>
        <v>5063.259</v>
      </c>
      <c r="V16" s="211"/>
      <c r="W16" s="206"/>
      <c r="X16" s="206">
        <f>内推!G3+内推!G4</f>
        <v>1000</v>
      </c>
      <c r="Y16" s="210">
        <f t="shared" si="9"/>
        <v>1000</v>
      </c>
      <c r="Z16" s="193"/>
      <c r="AA16" s="4">
        <f>VLOOKUP(C16,短信充值!A:B,2,0)</f>
        <v>357.48</v>
      </c>
      <c r="AB16" s="202">
        <f t="shared" si="10"/>
        <v>357.48</v>
      </c>
      <c r="AC16" s="214"/>
      <c r="AD16" s="214">
        <f>VLOOKUP(C16,社保医保!F:K,4,0)</f>
        <v>356.66</v>
      </c>
      <c r="AE16" s="214">
        <f>VLOOKUP(C16,社保医保!F:K,6,0)</f>
        <v>16.98</v>
      </c>
      <c r="AF16" s="202">
        <f t="shared" si="11"/>
        <v>373.64</v>
      </c>
      <c r="AG16" s="239">
        <f>VLOOKUP(C16,[2]综合所得申报税款计算!$B$1:$AM$65536,38,0)</f>
        <v>93.96</v>
      </c>
      <c r="AH16" s="216">
        <f ca="1" t="shared" si="12"/>
        <v>8038.179</v>
      </c>
    </row>
    <row r="17" ht="16.5" spans="1:34">
      <c r="A17" s="221"/>
      <c r="B17" s="108" t="s">
        <v>69</v>
      </c>
      <c r="C17" s="104" t="s">
        <v>82</v>
      </c>
      <c r="D17" s="192">
        <f ca="1" t="shared" si="13"/>
        <v>10350.568</v>
      </c>
      <c r="E17" s="192">
        <f ca="1" t="shared" si="14"/>
        <v>10058.008</v>
      </c>
      <c r="F17" s="193">
        <v>2300</v>
      </c>
      <c r="G17" s="193">
        <v>300</v>
      </c>
      <c r="H17" s="27">
        <f>VLOOKUP(C17,'5月考勤'!B:G,4,0)</f>
        <v>25</v>
      </c>
      <c r="I17" s="193">
        <f>VLOOKUP(C17,'5月考勤'!B:K,10,0)</f>
        <v>0</v>
      </c>
      <c r="J17" s="205">
        <f>VLOOKUP(C17,'5月考勤'!B:G,6,0)</f>
        <v>200</v>
      </c>
      <c r="K17" s="156">
        <f t="shared" si="8"/>
        <v>2800</v>
      </c>
      <c r="L17" s="27"/>
      <c r="M17" s="27"/>
      <c r="N17" s="193"/>
      <c r="O17" s="193">
        <f ca="1">VLOOKUP(C17,员工绩效!B:S,15,0)</f>
        <v>75505.68</v>
      </c>
      <c r="P17" s="226">
        <v>0.1</v>
      </c>
      <c r="Q17" s="235"/>
      <c r="R17" s="235"/>
      <c r="S17" s="206"/>
      <c r="T17" s="206"/>
      <c r="U17" s="156">
        <f ca="1" t="shared" si="6"/>
        <v>7550.568</v>
      </c>
      <c r="V17" s="211"/>
      <c r="W17" s="206"/>
      <c r="X17" s="206"/>
      <c r="Y17" s="210">
        <f t="shared" si="9"/>
        <v>0</v>
      </c>
      <c r="Z17" s="193"/>
      <c r="AA17" s="4">
        <f>VLOOKUP(C17,短信充值!A:B,2,0)</f>
        <v>292.56</v>
      </c>
      <c r="AB17" s="202">
        <f t="shared" si="10"/>
        <v>292.56</v>
      </c>
      <c r="AC17" s="214">
        <f>VLOOKUP(C17,社保医保!A:D,4,0)</f>
        <v>84.92</v>
      </c>
      <c r="AD17" s="214">
        <f>VLOOKUP(C17,社保医保!F:K,4,0)</f>
        <v>356.66</v>
      </c>
      <c r="AE17" s="214">
        <f>VLOOKUP(C17,社保医保!F:K,6,0)</f>
        <v>16.98</v>
      </c>
      <c r="AF17" s="202">
        <f t="shared" si="11"/>
        <v>458.56</v>
      </c>
      <c r="AG17" s="239">
        <f>VLOOKUP(C17,[2]综合所得申报税款计算!$B$1:$AM$65536,38,0)</f>
        <v>137.99</v>
      </c>
      <c r="AH17" s="216">
        <f ca="1" t="shared" si="12"/>
        <v>9461.458</v>
      </c>
    </row>
    <row r="18" ht="16.5" spans="1:34">
      <c r="A18" s="224"/>
      <c r="B18" s="108" t="s">
        <v>69</v>
      </c>
      <c r="C18" s="104" t="s">
        <v>83</v>
      </c>
      <c r="D18" s="192">
        <f ca="1" t="shared" si="13"/>
        <v>7032.037</v>
      </c>
      <c r="E18" s="192">
        <f ca="1" t="shared" si="14"/>
        <v>6714.697</v>
      </c>
      <c r="F18" s="193">
        <v>2300</v>
      </c>
      <c r="G18" s="193">
        <v>300</v>
      </c>
      <c r="H18" s="27">
        <f>VLOOKUP(C18,'5月考勤'!B:G,4,0)</f>
        <v>25</v>
      </c>
      <c r="I18" s="193">
        <f>VLOOKUP(C18,'5月考勤'!B:K,10,0)</f>
        <v>0</v>
      </c>
      <c r="J18" s="205">
        <f>VLOOKUP(C18,'5月考勤'!B:G,6,0)</f>
        <v>200</v>
      </c>
      <c r="K18" s="156">
        <f t="shared" si="8"/>
        <v>2800</v>
      </c>
      <c r="L18" s="27"/>
      <c r="M18" s="27"/>
      <c r="N18" s="193"/>
      <c r="O18" s="193">
        <f ca="1">VLOOKUP(C18,员工绩效!B:S,15,0)</f>
        <v>42320.37</v>
      </c>
      <c r="P18" s="226">
        <v>0.1</v>
      </c>
      <c r="Q18" s="235"/>
      <c r="R18" s="235"/>
      <c r="S18" s="206"/>
      <c r="T18" s="206"/>
      <c r="U18" s="156">
        <f ca="1" t="shared" si="6"/>
        <v>4232.037</v>
      </c>
      <c r="V18" s="211"/>
      <c r="W18" s="206"/>
      <c r="X18" s="206"/>
      <c r="Y18" s="210">
        <f t="shared" si="9"/>
        <v>0</v>
      </c>
      <c r="Z18" s="193"/>
      <c r="AA18" s="4">
        <f>VLOOKUP(C18,短信充值!A:B,2,0)</f>
        <v>317.34</v>
      </c>
      <c r="AB18" s="202">
        <f t="shared" si="10"/>
        <v>317.34</v>
      </c>
      <c r="AC18" s="214"/>
      <c r="AD18" s="214"/>
      <c r="AE18" s="214"/>
      <c r="AF18" s="202">
        <f t="shared" si="11"/>
        <v>0</v>
      </c>
      <c r="AG18" s="239">
        <f>VLOOKUP(C18,[2]综合所得申报税款计算!$B$1:$AM$65536,38,0)</f>
        <v>51.44</v>
      </c>
      <c r="AH18" s="216">
        <f ca="1" t="shared" si="12"/>
        <v>6663.257</v>
      </c>
    </row>
    <row r="19" ht="16.5" spans="1:34">
      <c r="A19" s="223" t="s">
        <v>84</v>
      </c>
      <c r="B19" s="108" t="s">
        <v>69</v>
      </c>
      <c r="C19" s="104" t="s">
        <v>85</v>
      </c>
      <c r="D19" s="192">
        <f ca="1" t="shared" si="13"/>
        <v>9584.1135</v>
      </c>
      <c r="E19" s="192">
        <f ca="1" t="shared" si="14"/>
        <v>8832.3135</v>
      </c>
      <c r="F19" s="193">
        <v>2300</v>
      </c>
      <c r="G19" s="193">
        <v>300</v>
      </c>
      <c r="H19" s="27">
        <f>VLOOKUP(C19,'5月考勤'!B:G,4,0)</f>
        <v>25</v>
      </c>
      <c r="I19" s="193">
        <f>VLOOKUP(C19,'5月考勤'!B:K,10,0)</f>
        <v>0</v>
      </c>
      <c r="J19" s="205">
        <f>VLOOKUP(C19,'5月考勤'!B:G,6,0)</f>
        <v>200</v>
      </c>
      <c r="K19" s="156">
        <f t="shared" si="8"/>
        <v>2800</v>
      </c>
      <c r="L19" s="27"/>
      <c r="M19" s="27"/>
      <c r="N19" s="193"/>
      <c r="O19" s="193">
        <f ca="1">VLOOKUP(C19,员工绩效!B:O,12,0)</f>
        <v>121907.03</v>
      </c>
      <c r="P19" s="226"/>
      <c r="Q19" s="235"/>
      <c r="R19" s="235"/>
      <c r="S19" s="206"/>
      <c r="T19" s="206"/>
      <c r="U19" s="156">
        <f ca="1">VLOOKUP(C19,员工绩效!B:O,14,0)</f>
        <v>6784.1135</v>
      </c>
      <c r="V19" s="211"/>
      <c r="W19" s="206"/>
      <c r="X19" s="206"/>
      <c r="Y19" s="210">
        <f t="shared" si="9"/>
        <v>0</v>
      </c>
      <c r="Z19" s="193"/>
      <c r="AA19" s="4">
        <f>VLOOKUP(C19,短信充值!A:B,2,0)</f>
        <v>751.8</v>
      </c>
      <c r="AB19" s="202">
        <f t="shared" si="10"/>
        <v>751.8</v>
      </c>
      <c r="AC19" s="214">
        <f>VLOOKUP(C19,社保医保!A:D,4,0)</f>
        <v>84.92</v>
      </c>
      <c r="AD19" s="214">
        <f>VLOOKUP(C19,社保医保!F:K,4,0)</f>
        <v>356.66</v>
      </c>
      <c r="AE19" s="214">
        <f>VLOOKUP(C19,社保医保!F:K,6,0)</f>
        <v>16.98</v>
      </c>
      <c r="AF19" s="202">
        <f t="shared" si="11"/>
        <v>458.56</v>
      </c>
      <c r="AG19" s="239">
        <f>VLOOKUP(C19,[2]综合所得申报税款计算!$B$1:$AM$65536,38,0)</f>
        <v>15.09</v>
      </c>
      <c r="AH19" s="216">
        <f ca="1" t="shared" si="12"/>
        <v>8358.6635</v>
      </c>
    </row>
    <row r="20" ht="16.5" spans="1:34">
      <c r="A20" s="221"/>
      <c r="B20" s="108" t="s">
        <v>69</v>
      </c>
      <c r="C20" s="104" t="s">
        <v>86</v>
      </c>
      <c r="D20" s="192">
        <f ca="1" t="shared" si="13"/>
        <v>9442.96055</v>
      </c>
      <c r="E20" s="192">
        <f ca="1" t="shared" si="14"/>
        <v>8813.80055</v>
      </c>
      <c r="F20" s="193">
        <v>2300</v>
      </c>
      <c r="G20" s="193">
        <v>300</v>
      </c>
      <c r="H20" s="27">
        <f>VLOOKUP(C20,'5月考勤'!B:G,4,0)</f>
        <v>25</v>
      </c>
      <c r="I20" s="193">
        <f>VLOOKUP(C20,'5月考勤'!B:K,10,0)</f>
        <v>0</v>
      </c>
      <c r="J20" s="205">
        <f>VLOOKUP(C20,'5月考勤'!B:G,6,0)</f>
        <v>200</v>
      </c>
      <c r="K20" s="156">
        <f t="shared" si="8"/>
        <v>2800</v>
      </c>
      <c r="L20" s="27"/>
      <c r="M20" s="27"/>
      <c r="N20" s="193"/>
      <c r="O20" s="193">
        <f ca="1">VLOOKUP(C20,员工绩效!B:O,12,0)</f>
        <v>110349.39</v>
      </c>
      <c r="P20" s="226"/>
      <c r="Q20" s="235"/>
      <c r="R20" s="235"/>
      <c r="S20" s="206"/>
      <c r="T20" s="206"/>
      <c r="U20" s="156">
        <f ca="1">VLOOKUP(C20,员工绩效!B:O,14,0)</f>
        <v>6442.96055</v>
      </c>
      <c r="V20" s="211"/>
      <c r="W20" s="206"/>
      <c r="X20" s="206">
        <f>内推!G2</f>
        <v>200</v>
      </c>
      <c r="Y20" s="210">
        <f t="shared" si="9"/>
        <v>200</v>
      </c>
      <c r="Z20" s="193"/>
      <c r="AA20" s="4">
        <f>VLOOKUP(C20,短信充值!A:B,2,0)</f>
        <v>629.16</v>
      </c>
      <c r="AB20" s="202">
        <f t="shared" si="10"/>
        <v>629.16</v>
      </c>
      <c r="AC20" s="214">
        <f>VLOOKUP(C20,社保医保!A:D,4,0)</f>
        <v>84.92</v>
      </c>
      <c r="AD20" s="214">
        <f>VLOOKUP(C20,社保医保!F:K,4,0)</f>
        <v>356.66</v>
      </c>
      <c r="AE20" s="214">
        <f>VLOOKUP(C20,社保医保!F:K,6,0)</f>
        <v>16.98</v>
      </c>
      <c r="AF20" s="202">
        <f t="shared" si="11"/>
        <v>458.56</v>
      </c>
      <c r="AG20" s="239">
        <f>VLOOKUP(C20,[2]综合所得申报税款计算!$B$1:$AM$65536,38,0)</f>
        <v>100.65</v>
      </c>
      <c r="AH20" s="216">
        <f ca="1" t="shared" si="12"/>
        <v>8254.59055</v>
      </c>
    </row>
    <row r="21" ht="16.5" spans="1:34">
      <c r="A21" s="221"/>
      <c r="B21" s="108" t="s">
        <v>69</v>
      </c>
      <c r="C21" s="104" t="s">
        <v>87</v>
      </c>
      <c r="D21" s="192">
        <f ca="1" t="shared" si="13"/>
        <v>11377.93035</v>
      </c>
      <c r="E21" s="192">
        <f ca="1" t="shared" si="14"/>
        <v>10729.63035</v>
      </c>
      <c r="F21" s="193">
        <v>2300</v>
      </c>
      <c r="G21" s="193">
        <v>300</v>
      </c>
      <c r="H21" s="27">
        <f>VLOOKUP(C21,'5月考勤'!B:G,4,0)</f>
        <v>25</v>
      </c>
      <c r="I21" s="193">
        <f>VLOOKUP(C21,'5月考勤'!B:K,10,0)</f>
        <v>0</v>
      </c>
      <c r="J21" s="205">
        <f>VLOOKUP(C21,'5月考勤'!B:G,6,0)</f>
        <v>200</v>
      </c>
      <c r="K21" s="156">
        <f t="shared" si="8"/>
        <v>2800</v>
      </c>
      <c r="L21" s="27"/>
      <c r="M21" s="27"/>
      <c r="N21" s="193"/>
      <c r="O21" s="193">
        <f ca="1">VLOOKUP(C21,员工绩效!B:O,12,0)</f>
        <v>99540.69</v>
      </c>
      <c r="P21" s="226"/>
      <c r="Q21" s="235"/>
      <c r="R21" s="235"/>
      <c r="S21" s="206"/>
      <c r="T21" s="206"/>
      <c r="U21" s="156">
        <f ca="1">VLOOKUP(C21,员工绩效!B:O,14,0)</f>
        <v>8577.93035</v>
      </c>
      <c r="V21" s="211"/>
      <c r="W21" s="206"/>
      <c r="X21" s="206"/>
      <c r="Y21" s="210">
        <f t="shared" si="9"/>
        <v>0</v>
      </c>
      <c r="Z21" s="193"/>
      <c r="AA21" s="4">
        <f>VLOOKUP(C21,短信充值!A:B,2,0)</f>
        <v>648.3</v>
      </c>
      <c r="AB21" s="202">
        <f t="shared" si="10"/>
        <v>648.3</v>
      </c>
      <c r="AC21" s="214">
        <f>VLOOKUP(C21,社保医保!A:D,4,0)</f>
        <v>84.92</v>
      </c>
      <c r="AD21" s="214">
        <f>VLOOKUP(C21,社保医保!F:K,4,0)</f>
        <v>356.66</v>
      </c>
      <c r="AE21" s="214">
        <f>VLOOKUP(C21,社保医保!F:K,6,0)</f>
        <v>16.98</v>
      </c>
      <c r="AF21" s="202">
        <f t="shared" si="11"/>
        <v>458.56</v>
      </c>
      <c r="AG21" s="239">
        <f>VLOOKUP(C21,[2]综合所得申报税款计算!$B$1:$AM$65536,38,0)</f>
        <v>158.14</v>
      </c>
      <c r="AH21" s="216">
        <f ca="1" t="shared" si="12"/>
        <v>10112.93035</v>
      </c>
    </row>
    <row r="22" ht="16.5" spans="1:34">
      <c r="A22" s="194"/>
      <c r="B22" s="108" t="s">
        <v>69</v>
      </c>
      <c r="C22" s="104" t="s">
        <v>88</v>
      </c>
      <c r="D22" s="192">
        <f t="shared" si="13"/>
        <v>936</v>
      </c>
      <c r="E22" s="192">
        <f t="shared" si="14"/>
        <v>936</v>
      </c>
      <c r="F22" s="193">
        <v>2300</v>
      </c>
      <c r="G22" s="193">
        <v>300</v>
      </c>
      <c r="H22" s="27">
        <f>VLOOKUP(C22,'5月考勤'!B:G,4,0)</f>
        <v>9</v>
      </c>
      <c r="I22" s="193">
        <f>VLOOKUP(C22,'5月考勤'!B:K,10,0)</f>
        <v>0</v>
      </c>
      <c r="J22" s="205">
        <f>VLOOKUP(C22,'5月考勤'!B:G,6,0)</f>
        <v>0</v>
      </c>
      <c r="K22" s="156">
        <f t="shared" si="8"/>
        <v>936</v>
      </c>
      <c r="L22" s="27"/>
      <c r="M22" s="27"/>
      <c r="N22" s="193"/>
      <c r="O22" s="193"/>
      <c r="P22" s="226"/>
      <c r="Q22" s="235"/>
      <c r="R22" s="235"/>
      <c r="S22" s="206"/>
      <c r="T22" s="206"/>
      <c r="U22" s="156">
        <f>O22*P22+S22-T22</f>
        <v>0</v>
      </c>
      <c r="V22" s="211"/>
      <c r="W22" s="237"/>
      <c r="X22" s="237"/>
      <c r="Y22" s="210">
        <f t="shared" si="9"/>
        <v>0</v>
      </c>
      <c r="Z22" s="193"/>
      <c r="AA22" s="4"/>
      <c r="AB22" s="202">
        <f t="shared" si="10"/>
        <v>0</v>
      </c>
      <c r="AC22" s="214"/>
      <c r="AD22" s="193"/>
      <c r="AE22" s="193"/>
      <c r="AF22" s="202">
        <f t="shared" si="11"/>
        <v>0</v>
      </c>
      <c r="AG22" s="239">
        <f>VLOOKUP(C22,[2]综合所得申报税款计算!$B$1:$AM$65536,38,0)</f>
        <v>0</v>
      </c>
      <c r="AH22" s="216">
        <f t="shared" si="12"/>
        <v>936</v>
      </c>
    </row>
    <row r="23" ht="17.25" spans="1:34">
      <c r="A23" s="194"/>
      <c r="B23" s="191"/>
      <c r="C23" s="109"/>
      <c r="D23" s="192"/>
      <c r="E23" s="192"/>
      <c r="F23" s="193"/>
      <c r="G23" s="193"/>
      <c r="H23" s="27"/>
      <c r="I23" s="193"/>
      <c r="J23" s="205"/>
      <c r="K23" s="156"/>
      <c r="L23" s="27"/>
      <c r="M23" s="27"/>
      <c r="N23" s="193"/>
      <c r="O23" s="193"/>
      <c r="P23" s="226"/>
      <c r="Q23" s="235"/>
      <c r="R23" s="235"/>
      <c r="S23" s="206"/>
      <c r="T23" s="206"/>
      <c r="U23" s="156"/>
      <c r="V23" s="211"/>
      <c r="W23" s="237"/>
      <c r="X23" s="237"/>
      <c r="Y23" s="210"/>
      <c r="Z23" s="193"/>
      <c r="AA23" s="4"/>
      <c r="AB23" s="202"/>
      <c r="AC23" s="214"/>
      <c r="AD23" s="193"/>
      <c r="AE23" s="193"/>
      <c r="AF23" s="202"/>
      <c r="AG23" s="215"/>
      <c r="AH23" s="216"/>
    </row>
    <row r="24" ht="16.5" spans="1:34">
      <c r="A24" s="225" t="s">
        <v>18</v>
      </c>
      <c r="B24" s="225"/>
      <c r="C24" s="196"/>
      <c r="D24" s="197">
        <f ca="1" t="shared" ref="D24:V24" si="15">SUM(D4:D23)</f>
        <v>193303.583678</v>
      </c>
      <c r="E24" s="197">
        <f ca="1" t="shared" si="15"/>
        <v>181836.528678</v>
      </c>
      <c r="F24" s="197">
        <f t="shared" si="15"/>
        <v>43700</v>
      </c>
      <c r="G24" s="197">
        <f t="shared" si="15"/>
        <v>15500</v>
      </c>
      <c r="H24" s="197">
        <f t="shared" si="15"/>
        <v>426.75</v>
      </c>
      <c r="I24" s="197">
        <f t="shared" si="15"/>
        <v>20</v>
      </c>
      <c r="J24" s="197">
        <f t="shared" si="15"/>
        <v>3000</v>
      </c>
      <c r="K24" s="197">
        <f t="shared" si="15"/>
        <v>57396</v>
      </c>
      <c r="L24" s="197">
        <f t="shared" si="15"/>
        <v>0</v>
      </c>
      <c r="M24" s="197">
        <f t="shared" si="15"/>
        <v>0</v>
      </c>
      <c r="N24" s="197">
        <f t="shared" si="15"/>
        <v>0</v>
      </c>
      <c r="O24" s="197">
        <f ca="1" t="shared" si="15"/>
        <v>1451548.58</v>
      </c>
      <c r="P24" s="229"/>
      <c r="Q24" s="238">
        <f ca="1">SUM(Q4:Q23)</f>
        <v>4300</v>
      </c>
      <c r="R24" s="238"/>
      <c r="S24" s="229">
        <f t="shared" ref="S24:X24" si="16">SUM(S4:S23)</f>
        <v>17836.139378</v>
      </c>
      <c r="T24" s="197">
        <f t="shared" si="16"/>
        <v>0</v>
      </c>
      <c r="U24" s="197">
        <f ca="1" t="shared" si="16"/>
        <v>134207.583678</v>
      </c>
      <c r="V24" s="197">
        <f t="shared" si="16"/>
        <v>0</v>
      </c>
      <c r="W24" s="229">
        <f t="shared" si="16"/>
        <v>0</v>
      </c>
      <c r="X24" s="229">
        <f t="shared" si="16"/>
        <v>1700</v>
      </c>
      <c r="Y24" s="229">
        <f t="shared" ref="Y24:AG24" si="17">SUM(Y4:Y23)</f>
        <v>1700</v>
      </c>
      <c r="Z24" s="197">
        <f t="shared" si="17"/>
        <v>800</v>
      </c>
      <c r="AA24" s="197">
        <f t="shared" si="17"/>
        <v>10667.055</v>
      </c>
      <c r="AB24" s="197">
        <f t="shared" si="17"/>
        <v>11467.055</v>
      </c>
      <c r="AC24" s="197">
        <f t="shared" si="17"/>
        <v>1019.04</v>
      </c>
      <c r="AD24" s="197">
        <f t="shared" si="17"/>
        <v>4636.58</v>
      </c>
      <c r="AE24" s="197">
        <f t="shared" si="17"/>
        <v>220.74</v>
      </c>
      <c r="AF24" s="197">
        <f t="shared" si="17"/>
        <v>5876.36</v>
      </c>
      <c r="AG24" s="197">
        <f t="shared" si="17"/>
        <v>4504.29</v>
      </c>
      <c r="AH24" s="216">
        <f ca="1">E24-AF24-AG24</f>
        <v>171455.878678</v>
      </c>
    </row>
  </sheetData>
  <mergeCells count="24">
    <mergeCell ref="A1:AH1"/>
    <mergeCell ref="F2:J2"/>
    <mergeCell ref="L2:N2"/>
    <mergeCell ref="O2:T2"/>
    <mergeCell ref="V2:W2"/>
    <mergeCell ref="Z2:AA2"/>
    <mergeCell ref="AC2:AE2"/>
    <mergeCell ref="A24:B24"/>
    <mergeCell ref="A2:A3"/>
    <mergeCell ref="A6:A13"/>
    <mergeCell ref="A15:A18"/>
    <mergeCell ref="A19:A21"/>
    <mergeCell ref="B2:B3"/>
    <mergeCell ref="C2:C3"/>
    <mergeCell ref="D2:D3"/>
    <mergeCell ref="E2:E3"/>
    <mergeCell ref="K2:K3"/>
    <mergeCell ref="U2:U3"/>
    <mergeCell ref="X2:X3"/>
    <mergeCell ref="Y2:Y3"/>
    <mergeCell ref="AB2:AB3"/>
    <mergeCell ref="AF2:AF3"/>
    <mergeCell ref="AG2:AG3"/>
    <mergeCell ref="AH2:AH3"/>
  </mergeCells>
  <conditionalFormatting sqref="C4">
    <cfRule type="duplicateValues" dxfId="0" priority="18"/>
  </conditionalFormatting>
  <conditionalFormatting sqref="C6">
    <cfRule type="duplicateValues" dxfId="0" priority="13"/>
  </conditionalFormatting>
  <conditionalFormatting sqref="C7">
    <cfRule type="duplicateValues" dxfId="0" priority="12"/>
  </conditionalFormatting>
  <conditionalFormatting sqref="C8">
    <cfRule type="duplicateValues" dxfId="0" priority="16"/>
  </conditionalFormatting>
  <conditionalFormatting sqref="C9">
    <cfRule type="duplicateValues" dxfId="0" priority="17"/>
  </conditionalFormatting>
  <conditionalFormatting sqref="C10">
    <cfRule type="duplicateValues" dxfId="0" priority="15"/>
  </conditionalFormatting>
  <conditionalFormatting sqref="C15">
    <cfRule type="duplicateValues" dxfId="0" priority="10"/>
  </conditionalFormatting>
  <conditionalFormatting sqref="C16">
    <cfRule type="duplicateValues" dxfId="0" priority="11"/>
  </conditionalFormatting>
  <conditionalFormatting sqref="C17:C18">
    <cfRule type="duplicateValues" dxfId="0" priority="9"/>
  </conditionalFormatting>
  <conditionalFormatting sqref="O6:O13">
    <cfRule type="duplicateValues" dxfId="0" priority="3"/>
  </conditionalFormatting>
  <conditionalFormatting sqref="AA4:AA23">
    <cfRule type="duplicateValues" dxfId="0" priority="22"/>
  </conditionalFormatting>
  <conditionalFormatting sqref="C2:C3 C24">
    <cfRule type="duplicateValues" dxfId="1" priority="20"/>
    <cfRule type="duplicateValues" dxfId="0" priority="21"/>
  </conditionalFormatting>
  <conditionalFormatting sqref="C5 C11 C14">
    <cfRule type="duplicateValues" dxfId="0" priority="19"/>
  </conditionalFormatting>
  <conditionalFormatting sqref="C12:C13 C19:C22">
    <cfRule type="duplicateValues" dxfId="0" priority="8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"/>
  <sheetViews>
    <sheetView workbookViewId="0">
      <selection activeCell="D16" sqref="D16"/>
    </sheetView>
  </sheetViews>
  <sheetFormatPr defaultColWidth="9" defaultRowHeight="13.5" outlineLevelRow="6"/>
  <cols>
    <col min="10" max="10" width="8.625" customWidth="1"/>
  </cols>
  <sheetData>
    <row r="1" s="183" customFormat="1" ht="20" customHeight="1" spans="1:32">
      <c r="A1" s="184" t="s">
        <v>23</v>
      </c>
      <c r="B1" s="184" t="s">
        <v>24</v>
      </c>
      <c r="C1" s="185" t="s">
        <v>25</v>
      </c>
      <c r="D1" s="186" t="s">
        <v>26</v>
      </c>
      <c r="E1" s="186" t="s">
        <v>27</v>
      </c>
      <c r="F1" s="186" t="s">
        <v>28</v>
      </c>
      <c r="G1" s="186"/>
      <c r="H1" s="186"/>
      <c r="I1" s="186"/>
      <c r="J1" s="186"/>
      <c r="K1" s="198" t="s">
        <v>29</v>
      </c>
      <c r="L1" s="199" t="s">
        <v>30</v>
      </c>
      <c r="M1" s="200"/>
      <c r="N1" s="201"/>
      <c r="O1" s="199" t="s">
        <v>31</v>
      </c>
      <c r="P1" s="200"/>
      <c r="Q1" s="200"/>
      <c r="R1" s="201"/>
      <c r="S1" s="207" t="s">
        <v>32</v>
      </c>
      <c r="T1" s="203" t="s">
        <v>33</v>
      </c>
      <c r="U1" s="204"/>
      <c r="V1" s="208" t="s">
        <v>35</v>
      </c>
      <c r="W1" s="186" t="s">
        <v>34</v>
      </c>
      <c r="X1" s="186" t="s">
        <v>36</v>
      </c>
      <c r="Y1" s="186"/>
      <c r="Z1" s="198" t="s">
        <v>37</v>
      </c>
      <c r="AA1" s="186" t="s">
        <v>38</v>
      </c>
      <c r="AB1" s="186"/>
      <c r="AC1" s="186"/>
      <c r="AD1" s="198" t="s">
        <v>39</v>
      </c>
      <c r="AE1" s="186" t="s">
        <v>40</v>
      </c>
      <c r="AF1" s="212" t="s">
        <v>41</v>
      </c>
    </row>
    <row r="2" s="183" customFormat="1" ht="16.95" customHeight="1" spans="1:32">
      <c r="A2" s="187"/>
      <c r="B2" s="187"/>
      <c r="C2" s="187"/>
      <c r="D2" s="188"/>
      <c r="E2" s="188"/>
      <c r="F2" s="189" t="s">
        <v>42</v>
      </c>
      <c r="G2" s="186" t="s">
        <v>43</v>
      </c>
      <c r="H2" s="186" t="s">
        <v>44</v>
      </c>
      <c r="I2" s="186" t="s">
        <v>45</v>
      </c>
      <c r="J2" s="186" t="s">
        <v>46</v>
      </c>
      <c r="K2" s="202"/>
      <c r="L2" s="189" t="s">
        <v>47</v>
      </c>
      <c r="M2" s="189" t="s">
        <v>48</v>
      </c>
      <c r="N2" s="203" t="s">
        <v>49</v>
      </c>
      <c r="O2" s="186" t="s">
        <v>50</v>
      </c>
      <c r="P2" s="204" t="s">
        <v>51</v>
      </c>
      <c r="Q2" s="189" t="s">
        <v>53</v>
      </c>
      <c r="R2" s="189" t="s">
        <v>55</v>
      </c>
      <c r="S2" s="159"/>
      <c r="T2" s="189" t="s">
        <v>56</v>
      </c>
      <c r="U2" s="209" t="s">
        <v>57</v>
      </c>
      <c r="V2" s="210"/>
      <c r="W2" s="186"/>
      <c r="X2" s="203" t="s">
        <v>58</v>
      </c>
      <c r="Y2" s="186" t="s">
        <v>59</v>
      </c>
      <c r="Z2" s="202"/>
      <c r="AA2" s="186" t="s">
        <v>60</v>
      </c>
      <c r="AB2" s="186" t="s">
        <v>61</v>
      </c>
      <c r="AC2" s="186" t="s">
        <v>62</v>
      </c>
      <c r="AD2" s="202"/>
      <c r="AE2" s="186"/>
      <c r="AF2" s="213"/>
    </row>
    <row r="3" s="183" customFormat="1" ht="16.95" customHeight="1" spans="1:32">
      <c r="A3" s="190" t="s">
        <v>89</v>
      </c>
      <c r="B3" s="191" t="s">
        <v>90</v>
      </c>
      <c r="C3" s="191" t="s">
        <v>91</v>
      </c>
      <c r="D3" s="192">
        <f>K3+S3+V3</f>
        <v>3900</v>
      </c>
      <c r="E3" s="192">
        <f>D3-Z3</f>
        <v>3900</v>
      </c>
      <c r="F3" s="193">
        <v>2300</v>
      </c>
      <c r="G3" s="193">
        <v>1000</v>
      </c>
      <c r="H3" s="27">
        <f>VLOOKUP(C3,'5月考勤'!B:E,4,0)</f>
        <v>23</v>
      </c>
      <c r="I3" s="193"/>
      <c r="J3" s="205">
        <f>VLOOKUP(C3,'5月考勤'!B:G,6,0)</f>
        <v>200</v>
      </c>
      <c r="K3" s="156">
        <f>F3+G3+J3</f>
        <v>3500</v>
      </c>
      <c r="L3" s="27"/>
      <c r="M3" s="27"/>
      <c r="N3" s="193"/>
      <c r="O3" s="193"/>
      <c r="P3" s="206"/>
      <c r="Q3" s="193">
        <v>400</v>
      </c>
      <c r="R3" s="193"/>
      <c r="S3" s="156">
        <f>Q3-R3</f>
        <v>400</v>
      </c>
      <c r="T3" s="211"/>
      <c r="U3" s="206"/>
      <c r="V3" s="210"/>
      <c r="W3" s="193"/>
      <c r="X3" s="193"/>
      <c r="Y3" s="4"/>
      <c r="Z3" s="202">
        <f>X3+Y3</f>
        <v>0</v>
      </c>
      <c r="AA3" s="214"/>
      <c r="AB3" s="193"/>
      <c r="AC3" s="193"/>
      <c r="AD3" s="202">
        <f>AA3+AB3+AC3</f>
        <v>0</v>
      </c>
      <c r="AE3" s="215"/>
      <c r="AF3" s="216">
        <f>E3-AD3-AE3</f>
        <v>3900</v>
      </c>
    </row>
    <row r="4" s="183" customFormat="1" ht="16.95" customHeight="1" spans="1:32">
      <c r="A4" s="190"/>
      <c r="B4" s="191"/>
      <c r="C4" s="191"/>
      <c r="D4" s="192"/>
      <c r="E4" s="192"/>
      <c r="F4" s="193"/>
      <c r="G4" s="193"/>
      <c r="H4" s="27"/>
      <c r="I4" s="193"/>
      <c r="J4" s="205"/>
      <c r="K4" s="156"/>
      <c r="L4" s="27"/>
      <c r="M4" s="27"/>
      <c r="N4" s="193"/>
      <c r="O4" s="193"/>
      <c r="P4" s="206"/>
      <c r="Q4" s="193"/>
      <c r="R4" s="193"/>
      <c r="S4" s="156"/>
      <c r="T4" s="211"/>
      <c r="U4" s="206"/>
      <c r="V4" s="210"/>
      <c r="W4" s="193"/>
      <c r="X4" s="193"/>
      <c r="Y4" s="4"/>
      <c r="Z4" s="202"/>
      <c r="AA4" s="214"/>
      <c r="AB4" s="193"/>
      <c r="AC4" s="193"/>
      <c r="AD4" s="202"/>
      <c r="AE4" s="215"/>
      <c r="AF4" s="216"/>
    </row>
    <row r="5" s="183" customFormat="1" ht="16.95" customHeight="1" spans="1:32">
      <c r="A5" s="194"/>
      <c r="B5" s="191"/>
      <c r="C5" s="191"/>
      <c r="D5" s="192"/>
      <c r="E5" s="192"/>
      <c r="F5" s="193"/>
      <c r="G5" s="193"/>
      <c r="H5" s="27"/>
      <c r="I5" s="193"/>
      <c r="J5" s="205"/>
      <c r="K5" s="156"/>
      <c r="L5" s="27"/>
      <c r="M5" s="27"/>
      <c r="N5" s="193"/>
      <c r="O5" s="193"/>
      <c r="P5" s="206"/>
      <c r="Q5" s="206"/>
      <c r="R5" s="206"/>
      <c r="S5" s="156"/>
      <c r="T5" s="211"/>
      <c r="U5" s="206"/>
      <c r="V5" s="210"/>
      <c r="W5" s="193"/>
      <c r="X5" s="193"/>
      <c r="Y5" s="4"/>
      <c r="Z5" s="202"/>
      <c r="AA5" s="214"/>
      <c r="AB5" s="193"/>
      <c r="AC5" s="193"/>
      <c r="AD5" s="202"/>
      <c r="AE5" s="215"/>
      <c r="AF5" s="216"/>
    </row>
    <row r="6" s="183" customFormat="1" ht="16.95" customHeight="1" spans="1:32">
      <c r="A6" s="194"/>
      <c r="B6" s="191"/>
      <c r="C6" s="191"/>
      <c r="D6" s="192"/>
      <c r="E6" s="192"/>
      <c r="F6" s="193"/>
      <c r="G6" s="193"/>
      <c r="H6" s="27"/>
      <c r="I6" s="193"/>
      <c r="J6" s="205"/>
      <c r="K6" s="156"/>
      <c r="L6" s="27"/>
      <c r="M6" s="27"/>
      <c r="N6" s="193"/>
      <c r="O6" s="193"/>
      <c r="P6" s="206"/>
      <c r="Q6" s="206"/>
      <c r="R6" s="206"/>
      <c r="S6" s="156"/>
      <c r="T6" s="211"/>
      <c r="U6" s="206"/>
      <c r="V6" s="210"/>
      <c r="W6" s="193"/>
      <c r="X6" s="193"/>
      <c r="Y6" s="4"/>
      <c r="Z6" s="202"/>
      <c r="AA6" s="214"/>
      <c r="AB6" s="193"/>
      <c r="AC6" s="193"/>
      <c r="AD6" s="202"/>
      <c r="AE6" s="215"/>
      <c r="AF6" s="216"/>
    </row>
    <row r="7" s="183" customFormat="1" ht="16.95" customHeight="1" spans="1:32">
      <c r="A7" s="195" t="s">
        <v>18</v>
      </c>
      <c r="B7" s="195"/>
      <c r="C7" s="196"/>
      <c r="D7" s="197">
        <f t="shared" ref="D7:AF7" si="0">SUM(D3:D6)</f>
        <v>3900</v>
      </c>
      <c r="E7" s="197">
        <f t="shared" si="0"/>
        <v>3900</v>
      </c>
      <c r="F7" s="197">
        <f t="shared" si="0"/>
        <v>2300</v>
      </c>
      <c r="G7" s="197">
        <f t="shared" si="0"/>
        <v>1000</v>
      </c>
      <c r="H7" s="197">
        <f t="shared" si="0"/>
        <v>23</v>
      </c>
      <c r="I7" s="197">
        <f t="shared" si="0"/>
        <v>0</v>
      </c>
      <c r="J7" s="197">
        <f t="shared" si="0"/>
        <v>200</v>
      </c>
      <c r="K7" s="197">
        <f t="shared" si="0"/>
        <v>3500</v>
      </c>
      <c r="L7" s="197">
        <f t="shared" si="0"/>
        <v>0</v>
      </c>
      <c r="M7" s="197">
        <f t="shared" si="0"/>
        <v>0</v>
      </c>
      <c r="N7" s="197">
        <f t="shared" si="0"/>
        <v>0</v>
      </c>
      <c r="O7" s="197">
        <f t="shared" si="0"/>
        <v>0</v>
      </c>
      <c r="P7" s="197">
        <f t="shared" si="0"/>
        <v>0</v>
      </c>
      <c r="Q7" s="197">
        <f t="shared" si="0"/>
        <v>400</v>
      </c>
      <c r="R7" s="197">
        <f t="shared" si="0"/>
        <v>0</v>
      </c>
      <c r="S7" s="197">
        <f t="shared" si="0"/>
        <v>400</v>
      </c>
      <c r="T7" s="197">
        <f t="shared" si="0"/>
        <v>0</v>
      </c>
      <c r="U7" s="197">
        <f t="shared" si="0"/>
        <v>0</v>
      </c>
      <c r="V7" s="197">
        <f t="shared" si="0"/>
        <v>0</v>
      </c>
      <c r="W7" s="197">
        <f t="shared" si="0"/>
        <v>0</v>
      </c>
      <c r="X7" s="197">
        <f t="shared" si="0"/>
        <v>0</v>
      </c>
      <c r="Y7" s="197">
        <f t="shared" si="0"/>
        <v>0</v>
      </c>
      <c r="Z7" s="197">
        <f t="shared" si="0"/>
        <v>0</v>
      </c>
      <c r="AA7" s="197">
        <f t="shared" si="0"/>
        <v>0</v>
      </c>
      <c r="AB7" s="197">
        <f t="shared" si="0"/>
        <v>0</v>
      </c>
      <c r="AC7" s="197">
        <f t="shared" si="0"/>
        <v>0</v>
      </c>
      <c r="AD7" s="197">
        <f t="shared" si="0"/>
        <v>0</v>
      </c>
      <c r="AE7" s="197">
        <f t="shared" si="0"/>
        <v>0</v>
      </c>
      <c r="AF7" s="197">
        <f t="shared" si="0"/>
        <v>3900</v>
      </c>
    </row>
  </sheetData>
  <mergeCells count="19">
    <mergeCell ref="F1:J1"/>
    <mergeCell ref="L1:N1"/>
    <mergeCell ref="O1:R1"/>
    <mergeCell ref="T1:U1"/>
    <mergeCell ref="X1:Y1"/>
    <mergeCell ref="AA1:AC1"/>
    <mergeCell ref="A1:A2"/>
    <mergeCell ref="B1:B2"/>
    <mergeCell ref="C1:C2"/>
    <mergeCell ref="D1:D2"/>
    <mergeCell ref="E1:E2"/>
    <mergeCell ref="K1:K2"/>
    <mergeCell ref="S1:S2"/>
    <mergeCell ref="V1:V2"/>
    <mergeCell ref="W1:W2"/>
    <mergeCell ref="Z1:Z2"/>
    <mergeCell ref="AD1:AD2"/>
    <mergeCell ref="AE1:AE2"/>
    <mergeCell ref="AF1:AF2"/>
  </mergeCells>
  <conditionalFormatting sqref="C3">
    <cfRule type="duplicateValues" dxfId="1" priority="1"/>
  </conditionalFormatting>
  <conditionalFormatting sqref="C7">
    <cfRule type="duplicateValues" dxfId="0" priority="3"/>
    <cfRule type="duplicateValues" dxfId="1" priority="2"/>
  </conditionalFormatting>
  <conditionalFormatting sqref="C1:C2">
    <cfRule type="duplicateValues" dxfId="0" priority="5"/>
  </conditionalFormatting>
  <conditionalFormatting sqref="Y3:Y6">
    <cfRule type="duplicateValues" dxfId="0" priority="6"/>
  </conditionalFormatting>
  <conditionalFormatting sqref="C1:C2 C4:C6">
    <cfRule type="duplicateValues" dxfId="1" priority="4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P22"/>
  <sheetViews>
    <sheetView workbookViewId="0">
      <selection activeCell="F18" sqref="H17 P11:P13 N3:N4 G3:G6 G7:G11 F17:F22"/>
    </sheetView>
  </sheetViews>
  <sheetFormatPr defaultColWidth="9" defaultRowHeight="13.5"/>
  <cols>
    <col min="3" max="4" width="10.375"/>
    <col min="6" max="6" width="10.375"/>
    <col min="7" max="7" width="10.375" style="68"/>
    <col min="10" max="11" width="11.5"/>
    <col min="12" max="12" width="10.375"/>
    <col min="13" max="13" width="10.75" customWidth="1"/>
    <col min="14" max="14" width="10.375" style="68"/>
    <col min="15" max="16" width="9.375"/>
  </cols>
  <sheetData>
    <row r="1" spans="1:14">
      <c r="A1" s="161" t="s">
        <v>92</v>
      </c>
      <c r="B1" s="161"/>
      <c r="C1" s="161"/>
      <c r="D1" s="161"/>
      <c r="E1" s="161"/>
      <c r="F1" s="161"/>
      <c r="G1" s="162"/>
      <c r="I1" s="161" t="s">
        <v>64</v>
      </c>
      <c r="J1" s="161"/>
      <c r="K1" s="161"/>
      <c r="L1" s="161"/>
      <c r="M1" s="161"/>
      <c r="N1" s="162"/>
    </row>
    <row r="2" spans="1:14">
      <c r="A2" s="86" t="s">
        <v>24</v>
      </c>
      <c r="B2" s="86" t="s">
        <v>25</v>
      </c>
      <c r="C2" s="86" t="s">
        <v>93</v>
      </c>
      <c r="D2" s="86" t="s">
        <v>94</v>
      </c>
      <c r="E2" s="86" t="s">
        <v>95</v>
      </c>
      <c r="F2" s="87" t="s">
        <v>67</v>
      </c>
      <c r="G2" s="87" t="s">
        <v>54</v>
      </c>
      <c r="I2" s="86" t="s">
        <v>24</v>
      </c>
      <c r="J2" s="86" t="s">
        <v>25</v>
      </c>
      <c r="K2" s="86" t="s">
        <v>93</v>
      </c>
      <c r="L2" s="86" t="s">
        <v>94</v>
      </c>
      <c r="M2" s="86" t="s">
        <v>95</v>
      </c>
      <c r="N2" s="87" t="s">
        <v>54</v>
      </c>
    </row>
    <row r="3" spans="1:14">
      <c r="A3" s="163" t="s">
        <v>96</v>
      </c>
      <c r="B3" s="4" t="s">
        <v>76</v>
      </c>
      <c r="C3" s="4">
        <v>1072.1</v>
      </c>
      <c r="D3" s="164">
        <f>SUM(C3:C11)</f>
        <v>664067.76</v>
      </c>
      <c r="E3" s="165">
        <v>0.01</v>
      </c>
      <c r="F3" s="164" t="s">
        <v>64</v>
      </c>
      <c r="G3" s="166">
        <f>D3*E3/2</f>
        <v>3320.3388</v>
      </c>
      <c r="I3" s="164" t="s">
        <v>77</v>
      </c>
      <c r="J3" s="4" t="s">
        <v>78</v>
      </c>
      <c r="K3" s="4">
        <v>58525.17</v>
      </c>
      <c r="L3" s="164">
        <f>SUM(K3:K5)</f>
        <v>114730.94</v>
      </c>
      <c r="M3" s="165">
        <v>0.01</v>
      </c>
      <c r="N3" s="166">
        <f>L3*M3</f>
        <v>1147.3094</v>
      </c>
    </row>
    <row r="4" spans="1:14">
      <c r="A4" s="163"/>
      <c r="B4" s="4" t="s">
        <v>70</v>
      </c>
      <c r="C4" s="4">
        <v>128271.86</v>
      </c>
      <c r="D4" s="167"/>
      <c r="E4" s="167"/>
      <c r="F4" s="167"/>
      <c r="G4" s="168"/>
      <c r="I4" s="169"/>
      <c r="J4" s="4" t="s">
        <v>64</v>
      </c>
      <c r="K4" s="4">
        <v>56205.77</v>
      </c>
      <c r="L4" s="169"/>
      <c r="M4" s="175"/>
      <c r="N4" s="170"/>
    </row>
    <row r="5" spans="1:14">
      <c r="A5" s="163"/>
      <c r="B5" s="4" t="s">
        <v>73</v>
      </c>
      <c r="C5" s="4">
        <v>72583.78</v>
      </c>
      <c r="D5" s="167"/>
      <c r="E5" s="167"/>
      <c r="F5" s="167"/>
      <c r="G5" s="168"/>
      <c r="I5" s="174"/>
      <c r="J5" s="176"/>
      <c r="K5" s="176"/>
      <c r="L5" s="174"/>
      <c r="M5" s="177"/>
      <c r="N5" s="178"/>
    </row>
    <row r="6" spans="1:7">
      <c r="A6" s="163"/>
      <c r="B6" s="4" t="s">
        <v>74</v>
      </c>
      <c r="C6" s="4">
        <v>159594.75</v>
      </c>
      <c r="D6" s="167"/>
      <c r="E6" s="167"/>
      <c r="F6" s="169"/>
      <c r="G6" s="170"/>
    </row>
    <row r="7" spans="1:7">
      <c r="A7" s="163"/>
      <c r="B7" s="84" t="s">
        <v>97</v>
      </c>
      <c r="C7" s="4">
        <v>4143.68</v>
      </c>
      <c r="D7" s="167"/>
      <c r="E7" s="167"/>
      <c r="F7" s="164" t="s">
        <v>68</v>
      </c>
      <c r="G7" s="166">
        <f>D3*E3/2</f>
        <v>3320.3388</v>
      </c>
    </row>
    <row r="8" spans="1:11">
      <c r="A8" s="163"/>
      <c r="B8" s="4" t="s">
        <v>72</v>
      </c>
      <c r="C8" s="4">
        <v>69403.02</v>
      </c>
      <c r="D8" s="167"/>
      <c r="E8" s="167"/>
      <c r="F8" s="167"/>
      <c r="G8" s="168"/>
      <c r="K8" s="176"/>
    </row>
    <row r="9" spans="1:14">
      <c r="A9" s="163"/>
      <c r="B9" s="4" t="s">
        <v>68</v>
      </c>
      <c r="C9" s="4">
        <v>113189.9</v>
      </c>
      <c r="D9" s="167"/>
      <c r="E9" s="167"/>
      <c r="F9" s="167"/>
      <c r="G9" s="168"/>
      <c r="I9" s="161" t="s">
        <v>66</v>
      </c>
      <c r="J9" s="161"/>
      <c r="K9" s="161"/>
      <c r="L9" s="161"/>
      <c r="M9" s="161"/>
      <c r="N9" s="161"/>
    </row>
    <row r="10" spans="1:16">
      <c r="A10" s="163"/>
      <c r="B10" s="4" t="s">
        <v>75</v>
      </c>
      <c r="C10" s="4">
        <v>2644.85</v>
      </c>
      <c r="D10" s="167"/>
      <c r="E10" s="167"/>
      <c r="F10" s="167"/>
      <c r="G10" s="168"/>
      <c r="I10" s="86" t="s">
        <v>24</v>
      </c>
      <c r="J10" s="86" t="s">
        <v>25</v>
      </c>
      <c r="K10" s="86" t="s">
        <v>93</v>
      </c>
      <c r="L10" s="86" t="s">
        <v>94</v>
      </c>
      <c r="M10" s="86" t="s">
        <v>98</v>
      </c>
      <c r="N10" s="86" t="s">
        <v>95</v>
      </c>
      <c r="O10" s="179" t="s">
        <v>99</v>
      </c>
      <c r="P10" s="87" t="s">
        <v>54</v>
      </c>
    </row>
    <row r="11" spans="1:16">
      <c r="A11" s="163"/>
      <c r="B11" s="4" t="s">
        <v>71</v>
      </c>
      <c r="C11" s="4">
        <v>113163.82</v>
      </c>
      <c r="D11" s="169"/>
      <c r="E11" s="169"/>
      <c r="F11" s="169"/>
      <c r="G11" s="170"/>
      <c r="I11" s="4" t="s">
        <v>100</v>
      </c>
      <c r="J11" s="4" t="s">
        <v>87</v>
      </c>
      <c r="K11" s="65">
        <v>99540.69</v>
      </c>
      <c r="L11" s="164">
        <f>SUM(K11:K13)</f>
        <v>331797.11</v>
      </c>
      <c r="M11" s="166">
        <f>L11/3</f>
        <v>110599.036666667</v>
      </c>
      <c r="N11" s="180">
        <v>0.018</v>
      </c>
      <c r="O11" s="4">
        <v>1.1</v>
      </c>
      <c r="P11" s="166">
        <f>L11*N11*O11</f>
        <v>6569.582778</v>
      </c>
    </row>
    <row r="12" spans="9:16">
      <c r="I12" s="4"/>
      <c r="J12" s="4" t="s">
        <v>85</v>
      </c>
      <c r="K12" s="65">
        <v>121907.03</v>
      </c>
      <c r="L12" s="167"/>
      <c r="M12" s="168"/>
      <c r="N12" s="181"/>
      <c r="O12" s="4"/>
      <c r="P12" s="168"/>
    </row>
    <row r="13" spans="9:16">
      <c r="I13" s="4"/>
      <c r="J13" s="4" t="s">
        <v>86</v>
      </c>
      <c r="K13" s="90">
        <v>110349.39</v>
      </c>
      <c r="L13" s="169"/>
      <c r="M13" s="170"/>
      <c r="N13" s="182"/>
      <c r="O13" s="4"/>
      <c r="P13" s="170"/>
    </row>
    <row r="15" spans="1:6">
      <c r="A15" s="161" t="s">
        <v>80</v>
      </c>
      <c r="B15" s="161"/>
      <c r="C15" s="161"/>
      <c r="D15" s="161"/>
      <c r="E15" s="161"/>
      <c r="F15" s="162"/>
    </row>
    <row r="16" spans="1:8">
      <c r="A16" s="86" t="s">
        <v>24</v>
      </c>
      <c r="B16" s="86" t="s">
        <v>25</v>
      </c>
      <c r="C16" s="86" t="s">
        <v>93</v>
      </c>
      <c r="D16" s="86" t="s">
        <v>94</v>
      </c>
      <c r="E16" s="86" t="s">
        <v>95</v>
      </c>
      <c r="F16" s="87" t="s">
        <v>54</v>
      </c>
      <c r="G16" s="171"/>
      <c r="H16" s="172"/>
    </row>
    <row r="17" spans="1:8">
      <c r="A17" s="4" t="s">
        <v>79</v>
      </c>
      <c r="B17" s="83" t="s">
        <v>80</v>
      </c>
      <c r="C17" s="83">
        <v>80046.81</v>
      </c>
      <c r="D17" s="164">
        <f>SUM(C17:C22)</f>
        <v>347856.96</v>
      </c>
      <c r="E17" s="165">
        <v>0.01</v>
      </c>
      <c r="F17" s="166">
        <f>D17*E17</f>
        <v>3478.5696</v>
      </c>
      <c r="G17" s="171"/>
      <c r="H17" s="172"/>
    </row>
    <row r="18" spans="1:8">
      <c r="A18" s="4"/>
      <c r="B18" s="83" t="s">
        <v>82</v>
      </c>
      <c r="C18" s="83">
        <v>75505.68</v>
      </c>
      <c r="D18" s="167"/>
      <c r="E18" s="167"/>
      <c r="F18" s="168"/>
      <c r="G18" s="173"/>
      <c r="H18" s="174"/>
    </row>
    <row r="19" spans="1:8">
      <c r="A19" s="4"/>
      <c r="B19" s="83" t="s">
        <v>66</v>
      </c>
      <c r="C19" s="83">
        <v>95564.98</v>
      </c>
      <c r="D19" s="167"/>
      <c r="E19" s="167"/>
      <c r="F19" s="168"/>
      <c r="G19" s="171"/>
      <c r="H19" s="172"/>
    </row>
    <row r="20" spans="1:8">
      <c r="A20" s="4"/>
      <c r="B20" s="83" t="s">
        <v>83</v>
      </c>
      <c r="C20" s="83">
        <v>42320.37</v>
      </c>
      <c r="D20" s="167"/>
      <c r="E20" s="167"/>
      <c r="F20" s="168"/>
      <c r="G20" s="171"/>
      <c r="H20" s="172"/>
    </row>
    <row r="21" spans="1:8">
      <c r="A21" s="4"/>
      <c r="B21" s="83" t="s">
        <v>81</v>
      </c>
      <c r="C21" s="83">
        <v>50632.59</v>
      </c>
      <c r="D21" s="167"/>
      <c r="E21" s="167"/>
      <c r="F21" s="168"/>
      <c r="G21" s="171"/>
      <c r="H21" s="172"/>
    </row>
    <row r="22" spans="1:6">
      <c r="A22" s="4"/>
      <c r="B22" s="83" t="s">
        <v>78</v>
      </c>
      <c r="C22" s="83">
        <v>3786.53</v>
      </c>
      <c r="D22" s="169"/>
      <c r="E22" s="169"/>
      <c r="F22" s="170"/>
    </row>
  </sheetData>
  <mergeCells count="25">
    <mergeCell ref="A1:G1"/>
    <mergeCell ref="I1:N1"/>
    <mergeCell ref="I9:N9"/>
    <mergeCell ref="A15:F15"/>
    <mergeCell ref="A3:A11"/>
    <mergeCell ref="A17:A22"/>
    <mergeCell ref="D3:D11"/>
    <mergeCell ref="D17:D22"/>
    <mergeCell ref="E3:E11"/>
    <mergeCell ref="E17:E22"/>
    <mergeCell ref="F3:F6"/>
    <mergeCell ref="F7:F11"/>
    <mergeCell ref="F17:F22"/>
    <mergeCell ref="G3:G6"/>
    <mergeCell ref="G7:G11"/>
    <mergeCell ref="I3:I4"/>
    <mergeCell ref="I11:I13"/>
    <mergeCell ref="L3:L4"/>
    <mergeCell ref="L11:L13"/>
    <mergeCell ref="M3:M4"/>
    <mergeCell ref="M11:M13"/>
    <mergeCell ref="N3:N4"/>
    <mergeCell ref="N11:N13"/>
    <mergeCell ref="O11:O13"/>
    <mergeCell ref="P11:P13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68"/>
  <sheetViews>
    <sheetView topLeftCell="A21" workbookViewId="0">
      <selection activeCell="R28" sqref="R28"/>
    </sheetView>
  </sheetViews>
  <sheetFormatPr defaultColWidth="9" defaultRowHeight="13.5"/>
  <cols>
    <col min="1" max="2" width="19.125" customWidth="1"/>
    <col min="3" max="3" width="17.125" customWidth="1"/>
    <col min="4" max="4" width="13.75" customWidth="1"/>
    <col min="5" max="5" width="25.375" customWidth="1"/>
    <col min="8" max="9" width="19.125" customWidth="1"/>
    <col min="10" max="10" width="17.125" customWidth="1"/>
    <col min="11" max="11" width="13.75" customWidth="1"/>
    <col min="12" max="12" width="25.375" customWidth="1"/>
  </cols>
  <sheetData>
    <row r="1" ht="19.5" customHeight="1" spans="1:12">
      <c r="A1" s="142" t="s">
        <v>101</v>
      </c>
      <c r="B1" s="143"/>
      <c r="C1" s="143"/>
      <c r="D1" s="143"/>
      <c r="E1" s="144"/>
      <c r="H1" s="142" t="s">
        <v>102</v>
      </c>
      <c r="I1" s="143"/>
      <c r="J1" s="143"/>
      <c r="K1" s="143"/>
      <c r="L1" s="144"/>
    </row>
    <row r="2" ht="19.5" customHeight="1" spans="1:12">
      <c r="A2" s="7" t="s">
        <v>103</v>
      </c>
      <c r="B2" s="7"/>
      <c r="C2" s="7"/>
      <c r="D2" s="7" t="s">
        <v>104</v>
      </c>
      <c r="E2" s="7" t="s">
        <v>105</v>
      </c>
      <c r="H2" s="7" t="s">
        <v>103</v>
      </c>
      <c r="I2" s="7"/>
      <c r="J2" s="7"/>
      <c r="K2" s="7" t="s">
        <v>104</v>
      </c>
      <c r="L2" s="7" t="s">
        <v>105</v>
      </c>
    </row>
    <row r="3" ht="19.5" customHeight="1" spans="1:12">
      <c r="A3" s="7" t="s">
        <v>106</v>
      </c>
      <c r="B3" s="7" t="s">
        <v>107</v>
      </c>
      <c r="C3" s="7" t="s">
        <v>108</v>
      </c>
      <c r="D3" s="145">
        <v>0.2</v>
      </c>
      <c r="E3" s="7" t="s">
        <v>109</v>
      </c>
      <c r="H3" s="7" t="s">
        <v>110</v>
      </c>
      <c r="I3" s="7" t="s">
        <v>107</v>
      </c>
      <c r="J3" s="7" t="s">
        <v>108</v>
      </c>
      <c r="K3" s="145">
        <v>0.2</v>
      </c>
      <c r="L3" s="7" t="s">
        <v>109</v>
      </c>
    </row>
    <row r="4" ht="19.5" customHeight="1" spans="1:12">
      <c r="A4" s="7" t="e">
        <f>SUMIF(#REF!,A3,#REF!)</f>
        <v>#REF!</v>
      </c>
      <c r="B4" s="146">
        <v>0.3</v>
      </c>
      <c r="C4" s="147" t="e">
        <f>A4*B4</f>
        <v>#REF!</v>
      </c>
      <c r="D4" s="145">
        <v>0.225</v>
      </c>
      <c r="E4" s="7" t="s">
        <v>111</v>
      </c>
      <c r="H4" s="7" t="e">
        <f>SUMIF(#REF!,H3,#REF!)</f>
        <v>#REF!</v>
      </c>
      <c r="I4" s="146">
        <v>0.3</v>
      </c>
      <c r="J4" s="147" t="e">
        <f>H4*I4</f>
        <v>#REF!</v>
      </c>
      <c r="K4" s="145">
        <v>0.225</v>
      </c>
      <c r="L4" s="7" t="s">
        <v>111</v>
      </c>
    </row>
    <row r="5" ht="19.5" customHeight="1" spans="1:12">
      <c r="A5" s="7"/>
      <c r="B5" s="7"/>
      <c r="C5" s="7"/>
      <c r="D5" s="145">
        <v>0.235</v>
      </c>
      <c r="E5" s="7" t="s">
        <v>112</v>
      </c>
      <c r="H5" s="7"/>
      <c r="I5" s="7"/>
      <c r="J5" s="7"/>
      <c r="K5" s="145">
        <v>0.235</v>
      </c>
      <c r="L5" s="7" t="s">
        <v>112</v>
      </c>
    </row>
    <row r="6" ht="19.5" customHeight="1" spans="1:12">
      <c r="A6" s="7"/>
      <c r="B6" s="7"/>
      <c r="C6" s="7"/>
      <c r="D6" s="7"/>
      <c r="E6" s="148"/>
      <c r="H6" s="7"/>
      <c r="I6" s="7"/>
      <c r="J6" s="7"/>
      <c r="K6" s="7"/>
      <c r="L6" s="148"/>
    </row>
    <row r="7" ht="19.5" customHeight="1" spans="1:12">
      <c r="A7" s="7" t="s">
        <v>113</v>
      </c>
      <c r="B7" s="7"/>
      <c r="C7" s="7"/>
      <c r="D7" s="7"/>
      <c r="E7" s="149"/>
      <c r="H7" s="7" t="s">
        <v>113</v>
      </c>
      <c r="I7" s="7"/>
      <c r="J7" s="7"/>
      <c r="K7" s="7"/>
      <c r="L7" s="149"/>
    </row>
    <row r="8" ht="19.5" customHeight="1" spans="1:12">
      <c r="A8" s="7" t="s">
        <v>114</v>
      </c>
      <c r="B8" s="7" t="s">
        <v>115</v>
      </c>
      <c r="C8" s="7" t="s">
        <v>116</v>
      </c>
      <c r="D8" s="7" t="s">
        <v>108</v>
      </c>
      <c r="E8" s="149"/>
      <c r="H8" s="7" t="s">
        <v>114</v>
      </c>
      <c r="I8" s="7" t="s">
        <v>115</v>
      </c>
      <c r="J8" s="7" t="s">
        <v>116</v>
      </c>
      <c r="K8" s="7" t="s">
        <v>108</v>
      </c>
      <c r="L8" s="149"/>
    </row>
    <row r="9" ht="19.5" customHeight="1" spans="1:12">
      <c r="A9" s="7">
        <v>0</v>
      </c>
      <c r="B9" s="7">
        <v>0</v>
      </c>
      <c r="C9" s="7">
        <v>2500</v>
      </c>
      <c r="D9" s="7">
        <f>B9+C9</f>
        <v>2500</v>
      </c>
      <c r="E9" s="149"/>
      <c r="H9" s="7">
        <v>0</v>
      </c>
      <c r="I9" s="7">
        <v>0</v>
      </c>
      <c r="J9" s="7">
        <v>2500</v>
      </c>
      <c r="K9" s="7">
        <f>I9+J9</f>
        <v>2500</v>
      </c>
      <c r="L9" s="149"/>
    </row>
    <row r="10" ht="19.5" customHeight="1" spans="1:12">
      <c r="A10" s="7"/>
      <c r="B10" s="7"/>
      <c r="C10" s="7"/>
      <c r="D10" s="7"/>
      <c r="E10" s="149"/>
      <c r="H10" s="7"/>
      <c r="I10" s="7"/>
      <c r="J10" s="7"/>
      <c r="K10" s="7"/>
      <c r="L10" s="149"/>
    </row>
    <row r="11" ht="19.5" customHeight="1" spans="1:12">
      <c r="A11" s="7"/>
      <c r="B11" s="7"/>
      <c r="C11" s="7"/>
      <c r="D11" s="7"/>
      <c r="E11" s="149"/>
      <c r="H11" s="7"/>
      <c r="I11" s="7"/>
      <c r="J11" s="7"/>
      <c r="K11" s="7"/>
      <c r="L11" s="149"/>
    </row>
    <row r="12" ht="19.5" customHeight="1" spans="1:12">
      <c r="A12" s="7" t="s">
        <v>117</v>
      </c>
      <c r="B12" s="7"/>
      <c r="C12" s="7"/>
      <c r="D12" s="7"/>
      <c r="E12" s="149"/>
      <c r="H12" s="7" t="s">
        <v>117</v>
      </c>
      <c r="I12" s="7"/>
      <c r="J12" s="7"/>
      <c r="K12" s="7"/>
      <c r="L12" s="149"/>
    </row>
    <row r="13" ht="19.5" customHeight="1" spans="1:12">
      <c r="A13" s="7" t="s">
        <v>118</v>
      </c>
      <c r="B13" s="7" t="s">
        <v>119</v>
      </c>
      <c r="C13" s="7" t="s">
        <v>106</v>
      </c>
      <c r="D13" s="7" t="s">
        <v>108</v>
      </c>
      <c r="E13" s="149"/>
      <c r="H13" s="7" t="s">
        <v>118</v>
      </c>
      <c r="I13" s="7" t="s">
        <v>119</v>
      </c>
      <c r="J13" s="7" t="s">
        <v>110</v>
      </c>
      <c r="K13" s="7" t="s">
        <v>108</v>
      </c>
      <c r="L13" s="149"/>
    </row>
    <row r="14" ht="19.5" customHeight="1" spans="1:12">
      <c r="A14" s="7">
        <f>3500+1070.84</f>
        <v>4570.84</v>
      </c>
      <c r="B14" s="7">
        <f>2500*3+1070.84*3+1437.5</f>
        <v>12150.02</v>
      </c>
      <c r="C14" s="150" t="e">
        <f>SUMIF(#REF!,C13,#REF!)</f>
        <v>#REF!</v>
      </c>
      <c r="D14" s="151" t="e">
        <f>A14+B14+C14</f>
        <v>#REF!</v>
      </c>
      <c r="E14" s="149"/>
      <c r="H14" s="7">
        <f>3500+1070.84</f>
        <v>4570.84</v>
      </c>
      <c r="I14" s="7">
        <f>2500*4+1070.84*2-84.92</f>
        <v>12056.76</v>
      </c>
      <c r="J14" s="150" t="e">
        <f>SUMIF(#REF!,J13,#REF!)</f>
        <v>#REF!</v>
      </c>
      <c r="K14" s="151" t="e">
        <f>H14+I14+J14</f>
        <v>#REF!</v>
      </c>
      <c r="L14" s="149"/>
    </row>
    <row r="15" ht="19.5" customHeight="1" spans="1:12">
      <c r="A15" s="7"/>
      <c r="B15" s="7"/>
      <c r="C15" s="7"/>
      <c r="D15" s="7"/>
      <c r="E15" s="149"/>
      <c r="H15" s="7"/>
      <c r="I15" s="7"/>
      <c r="J15" s="7"/>
      <c r="K15" s="7"/>
      <c r="L15" s="149"/>
    </row>
    <row r="16" ht="19.5" customHeight="1" spans="1:12">
      <c r="A16" s="7"/>
      <c r="B16" s="7"/>
      <c r="C16" s="7"/>
      <c r="D16" s="7"/>
      <c r="E16" s="149"/>
      <c r="H16" s="7"/>
      <c r="I16" s="7"/>
      <c r="J16" s="7"/>
      <c r="K16" s="7"/>
      <c r="L16" s="149"/>
    </row>
    <row r="17" ht="19.5" customHeight="1" spans="1:12">
      <c r="A17" s="7" t="s">
        <v>54</v>
      </c>
      <c r="B17" s="7"/>
      <c r="C17" s="7"/>
      <c r="D17" s="7"/>
      <c r="E17" s="152"/>
      <c r="H17" s="7" t="s">
        <v>54</v>
      </c>
      <c r="I17" s="7"/>
      <c r="J17" s="7"/>
      <c r="K17" s="7"/>
      <c r="L17" s="152"/>
    </row>
    <row r="18" ht="19.5" customHeight="1" spans="1:12">
      <c r="A18" s="7" t="s">
        <v>103</v>
      </c>
      <c r="B18" s="7" t="s">
        <v>120</v>
      </c>
      <c r="C18" s="7" t="s">
        <v>105</v>
      </c>
      <c r="D18" s="7" t="s">
        <v>104</v>
      </c>
      <c r="E18" s="7" t="s">
        <v>121</v>
      </c>
      <c r="H18" s="7" t="s">
        <v>103</v>
      </c>
      <c r="I18" s="7" t="s">
        <v>120</v>
      </c>
      <c r="J18" s="7" t="s">
        <v>105</v>
      </c>
      <c r="K18" s="7" t="s">
        <v>104</v>
      </c>
      <c r="L18" s="7" t="s">
        <v>121</v>
      </c>
    </row>
    <row r="19" ht="19.5" customHeight="1" spans="1:12">
      <c r="A19" s="7" t="e">
        <f>C4</f>
        <v>#REF!</v>
      </c>
      <c r="B19" s="151" t="e">
        <f>D9+D14</f>
        <v>#REF!</v>
      </c>
      <c r="C19" s="151" t="e">
        <f>A19-B19</f>
        <v>#REF!</v>
      </c>
      <c r="D19" s="145">
        <v>0.2</v>
      </c>
      <c r="E19" s="153" t="e">
        <f>C19*D19</f>
        <v>#REF!</v>
      </c>
      <c r="H19" s="7" t="e">
        <f>J4</f>
        <v>#REF!</v>
      </c>
      <c r="I19" s="151" t="e">
        <f>K9+K14</f>
        <v>#REF!</v>
      </c>
      <c r="J19" s="151" t="e">
        <f>H19-I19</f>
        <v>#REF!</v>
      </c>
      <c r="K19" s="145">
        <v>0.225</v>
      </c>
      <c r="L19" s="153" t="e">
        <f>J19*K19</f>
        <v>#REF!</v>
      </c>
    </row>
    <row r="20" ht="19.5" customHeight="1" spans="1:12">
      <c r="A20" s="7"/>
      <c r="B20" s="7"/>
      <c r="C20" s="7"/>
      <c r="D20" s="7"/>
      <c r="E20" s="7"/>
      <c r="H20" s="7"/>
      <c r="I20" s="7"/>
      <c r="J20" s="7"/>
      <c r="K20" s="7"/>
      <c r="L20" s="7"/>
    </row>
    <row r="24" ht="19.5" customHeight="1" spans="1:12">
      <c r="A24" s="142" t="s">
        <v>122</v>
      </c>
      <c r="B24" s="143"/>
      <c r="C24" s="143"/>
      <c r="D24" s="143"/>
      <c r="E24" s="144"/>
      <c r="H24" s="142" t="s">
        <v>123</v>
      </c>
      <c r="I24" s="143"/>
      <c r="J24" s="143"/>
      <c r="K24" s="143"/>
      <c r="L24" s="144"/>
    </row>
    <row r="25" ht="19.5" customHeight="1" spans="1:12">
      <c r="A25" s="7" t="s">
        <v>103</v>
      </c>
      <c r="B25" s="7"/>
      <c r="C25" s="7"/>
      <c r="D25" s="7" t="s">
        <v>104</v>
      </c>
      <c r="E25" s="7" t="s">
        <v>105</v>
      </c>
      <c r="H25" s="7" t="s">
        <v>103</v>
      </c>
      <c r="I25" s="7"/>
      <c r="J25" s="7"/>
      <c r="K25" s="7" t="s">
        <v>104</v>
      </c>
      <c r="L25" s="7" t="s">
        <v>105</v>
      </c>
    </row>
    <row r="26" ht="19.5" customHeight="1" spans="1:12">
      <c r="A26" s="7" t="s">
        <v>124</v>
      </c>
      <c r="B26" s="7" t="s">
        <v>107</v>
      </c>
      <c r="C26" s="7" t="s">
        <v>108</v>
      </c>
      <c r="D26" s="145">
        <v>0.2</v>
      </c>
      <c r="E26" s="7" t="s">
        <v>109</v>
      </c>
      <c r="H26" s="7" t="s">
        <v>125</v>
      </c>
      <c r="I26" s="7" t="s">
        <v>107</v>
      </c>
      <c r="J26" s="7" t="s">
        <v>108</v>
      </c>
      <c r="K26" s="145">
        <v>0.2</v>
      </c>
      <c r="L26" s="7" t="s">
        <v>109</v>
      </c>
    </row>
    <row r="27" ht="19.5" customHeight="1" spans="1:12">
      <c r="A27" s="7" t="e">
        <f>SUMIF(#REF!,A26,#REF!)</f>
        <v>#REF!</v>
      </c>
      <c r="B27" s="146">
        <v>0.3</v>
      </c>
      <c r="C27" s="147" t="e">
        <f>A27*B27</f>
        <v>#REF!</v>
      </c>
      <c r="D27" s="145">
        <v>0.225</v>
      </c>
      <c r="E27" s="7" t="s">
        <v>111</v>
      </c>
      <c r="H27" s="7" t="e">
        <f>SUMIF(#REF!,H26,#REF!)</f>
        <v>#REF!</v>
      </c>
      <c r="I27" s="146">
        <v>0.3</v>
      </c>
      <c r="J27" s="147" t="e">
        <f>H27*I27</f>
        <v>#REF!</v>
      </c>
      <c r="K27" s="145">
        <v>0.225</v>
      </c>
      <c r="L27" s="7" t="s">
        <v>111</v>
      </c>
    </row>
    <row r="28" ht="19.5" customHeight="1" spans="1:12">
      <c r="A28" s="7"/>
      <c r="B28" s="7"/>
      <c r="C28" s="7"/>
      <c r="D28" s="145">
        <v>0.235</v>
      </c>
      <c r="E28" s="7" t="s">
        <v>112</v>
      </c>
      <c r="H28" s="7"/>
      <c r="I28" s="7"/>
      <c r="J28" s="7"/>
      <c r="K28" s="145">
        <v>0.235</v>
      </c>
      <c r="L28" s="7" t="s">
        <v>112</v>
      </c>
    </row>
    <row r="29" ht="19.5" customHeight="1" spans="1:12">
      <c r="A29" s="7"/>
      <c r="B29" s="7"/>
      <c r="C29" s="7"/>
      <c r="D29" s="7"/>
      <c r="E29" s="148"/>
      <c r="H29" s="7"/>
      <c r="I29" s="7"/>
      <c r="J29" s="7"/>
      <c r="K29" s="7"/>
      <c r="L29" s="148"/>
    </row>
    <row r="30" ht="19.5" customHeight="1" spans="1:12">
      <c r="A30" s="7" t="s">
        <v>113</v>
      </c>
      <c r="B30" s="7"/>
      <c r="C30" s="7"/>
      <c r="D30" s="7"/>
      <c r="E30" s="149"/>
      <c r="H30" s="7" t="s">
        <v>113</v>
      </c>
      <c r="I30" s="7"/>
      <c r="J30" s="7"/>
      <c r="K30" s="7"/>
      <c r="L30" s="149"/>
    </row>
    <row r="31" ht="19.5" customHeight="1" spans="1:12">
      <c r="A31" s="7" t="s">
        <v>114</v>
      </c>
      <c r="B31" s="7" t="s">
        <v>115</v>
      </c>
      <c r="C31" s="7" t="s">
        <v>116</v>
      </c>
      <c r="D31" s="7" t="s">
        <v>108</v>
      </c>
      <c r="E31" s="149"/>
      <c r="H31" s="7" t="s">
        <v>114</v>
      </c>
      <c r="I31" s="7" t="s">
        <v>115</v>
      </c>
      <c r="J31" s="7" t="s">
        <v>116</v>
      </c>
      <c r="K31" s="7" t="s">
        <v>108</v>
      </c>
      <c r="L31" s="149"/>
    </row>
    <row r="32" ht="19.5" customHeight="1" spans="1:12">
      <c r="A32" s="7">
        <v>0</v>
      </c>
      <c r="B32" s="7">
        <v>0</v>
      </c>
      <c r="C32" s="7">
        <v>1500</v>
      </c>
      <c r="D32" s="7">
        <f>B32+C32</f>
        <v>1500</v>
      </c>
      <c r="E32" s="149"/>
      <c r="H32" s="7">
        <v>0</v>
      </c>
      <c r="I32" s="7">
        <v>0</v>
      </c>
      <c r="J32" s="7">
        <v>2100</v>
      </c>
      <c r="K32" s="7">
        <f>I32+J32</f>
        <v>2100</v>
      </c>
      <c r="L32" s="149"/>
    </row>
    <row r="33" ht="19.5" customHeight="1" spans="1:12">
      <c r="A33" s="7"/>
      <c r="B33" s="7"/>
      <c r="C33" s="7"/>
      <c r="D33" s="7"/>
      <c r="E33" s="149"/>
      <c r="H33" s="7"/>
      <c r="I33" s="7"/>
      <c r="J33" s="7"/>
      <c r="K33" s="7"/>
      <c r="L33" s="149"/>
    </row>
    <row r="34" ht="19.5" customHeight="1" spans="1:12">
      <c r="A34" s="7"/>
      <c r="B34" s="7"/>
      <c r="C34" s="7"/>
      <c r="D34" s="7"/>
      <c r="E34" s="149"/>
      <c r="H34" s="7"/>
      <c r="I34" s="7"/>
      <c r="J34" s="7"/>
      <c r="K34" s="7"/>
      <c r="L34" s="149"/>
    </row>
    <row r="35" ht="19.5" customHeight="1" spans="1:12">
      <c r="A35" s="7" t="s">
        <v>117</v>
      </c>
      <c r="B35" s="7"/>
      <c r="C35" s="7"/>
      <c r="D35" s="7"/>
      <c r="E35" s="149"/>
      <c r="H35" s="7" t="s">
        <v>117</v>
      </c>
      <c r="I35" s="7"/>
      <c r="J35" s="7"/>
      <c r="K35" s="7"/>
      <c r="L35" s="149"/>
    </row>
    <row r="36" ht="19.5" customHeight="1" spans="1:12">
      <c r="A36" s="7" t="s">
        <v>118</v>
      </c>
      <c r="B36" s="7" t="s">
        <v>119</v>
      </c>
      <c r="C36" s="7" t="s">
        <v>124</v>
      </c>
      <c r="D36" s="7" t="s">
        <v>108</v>
      </c>
      <c r="E36" s="149"/>
      <c r="H36" s="7" t="s">
        <v>118</v>
      </c>
      <c r="I36" s="7" t="s">
        <v>119</v>
      </c>
      <c r="J36" s="7" t="s">
        <v>125</v>
      </c>
      <c r="K36" s="7" t="s">
        <v>108</v>
      </c>
      <c r="L36" s="149"/>
    </row>
    <row r="37" ht="19.5" customHeight="1" spans="1:12">
      <c r="A37" s="7">
        <f>3500+1070.84</f>
        <v>4570.84</v>
      </c>
      <c r="B37" s="151">
        <f>2500*4+1070.84*4</f>
        <v>14283.36</v>
      </c>
      <c r="C37" s="150" t="e">
        <f>SUMIF(#REF!,C36,#REF!)</f>
        <v>#REF!</v>
      </c>
      <c r="D37" s="151" t="e">
        <f>A37+B37+C37</f>
        <v>#REF!</v>
      </c>
      <c r="E37" s="149"/>
      <c r="H37" s="7">
        <f>3500+1070.84</f>
        <v>4570.84</v>
      </c>
      <c r="I37" s="151">
        <f>2500*6+1070.84*6</f>
        <v>21425.04</v>
      </c>
      <c r="J37" s="150" t="e">
        <f>SUMIF(#REF!,J36,#REF!)</f>
        <v>#REF!</v>
      </c>
      <c r="K37" s="7" t="e">
        <f>H37+I37+J37</f>
        <v>#REF!</v>
      </c>
      <c r="L37" s="149"/>
    </row>
    <row r="38" ht="19.5" customHeight="1" spans="1:12">
      <c r="A38" s="7"/>
      <c r="B38" s="7"/>
      <c r="C38" s="7"/>
      <c r="D38" s="7"/>
      <c r="E38" s="149"/>
      <c r="H38" s="7"/>
      <c r="I38" s="7"/>
      <c r="J38" s="7"/>
      <c r="K38" s="7"/>
      <c r="L38" s="149"/>
    </row>
    <row r="39" ht="19.5" customHeight="1" spans="1:12">
      <c r="A39" s="7"/>
      <c r="B39" s="7"/>
      <c r="C39" s="7"/>
      <c r="D39" s="7"/>
      <c r="E39" s="149"/>
      <c r="H39" s="7"/>
      <c r="I39" s="7"/>
      <c r="J39" s="7"/>
      <c r="K39" s="7"/>
      <c r="L39" s="149"/>
    </row>
    <row r="40" ht="19.5" customHeight="1" spans="1:12">
      <c r="A40" s="7" t="s">
        <v>54</v>
      </c>
      <c r="B40" s="7"/>
      <c r="C40" s="7"/>
      <c r="D40" s="7"/>
      <c r="E40" s="152"/>
      <c r="H40" s="7" t="s">
        <v>54</v>
      </c>
      <c r="I40" s="7"/>
      <c r="J40" s="7"/>
      <c r="K40" s="7"/>
      <c r="L40" s="152"/>
    </row>
    <row r="41" ht="19.5" customHeight="1" spans="1:12">
      <c r="A41" s="7" t="s">
        <v>103</v>
      </c>
      <c r="B41" s="7" t="s">
        <v>120</v>
      </c>
      <c r="C41" s="7" t="s">
        <v>105</v>
      </c>
      <c r="D41" s="7" t="s">
        <v>104</v>
      </c>
      <c r="E41" s="7" t="s">
        <v>121</v>
      </c>
      <c r="H41" s="7" t="s">
        <v>103</v>
      </c>
      <c r="I41" s="7" t="s">
        <v>120</v>
      </c>
      <c r="J41" s="7" t="s">
        <v>105</v>
      </c>
      <c r="K41" s="7" t="s">
        <v>104</v>
      </c>
      <c r="L41" s="7" t="s">
        <v>121</v>
      </c>
    </row>
    <row r="42" ht="19.5" customHeight="1" spans="1:12">
      <c r="A42" s="151" t="e">
        <f>C27</f>
        <v>#REF!</v>
      </c>
      <c r="B42" s="151" t="e">
        <f>D32+D37</f>
        <v>#REF!</v>
      </c>
      <c r="C42" s="151" t="e">
        <f>A42-B42</f>
        <v>#REF!</v>
      </c>
      <c r="D42" s="145">
        <v>0.205</v>
      </c>
      <c r="E42" s="153" t="e">
        <f>C42*D42</f>
        <v>#REF!</v>
      </c>
      <c r="H42" s="7" t="e">
        <f>J27</f>
        <v>#REF!</v>
      </c>
      <c r="I42" s="7" t="e">
        <f>K32+K37</f>
        <v>#REF!</v>
      </c>
      <c r="J42" s="151" t="e">
        <f>H42-I42</f>
        <v>#REF!</v>
      </c>
      <c r="K42" s="145">
        <v>0.225</v>
      </c>
      <c r="L42" s="153" t="e">
        <f>J42*K42</f>
        <v>#REF!</v>
      </c>
    </row>
    <row r="43" ht="19.5" customHeight="1" spans="1:12">
      <c r="A43" s="7"/>
      <c r="B43" s="7"/>
      <c r="C43" s="7"/>
      <c r="D43" s="7"/>
      <c r="E43" s="7"/>
      <c r="H43" s="7"/>
      <c r="I43" s="7"/>
      <c r="J43" s="7"/>
      <c r="K43" s="7"/>
      <c r="L43" s="7"/>
    </row>
    <row r="57" ht="16.5" spans="1:3">
      <c r="A57" s="154" t="s">
        <v>126</v>
      </c>
      <c r="B57" s="155" t="s">
        <v>127</v>
      </c>
      <c r="C57" s="156">
        <v>3056.6692</v>
      </c>
    </row>
    <row r="58" ht="16.5" spans="1:3">
      <c r="A58" s="154" t="s">
        <v>126</v>
      </c>
      <c r="B58" s="155" t="s">
        <v>128</v>
      </c>
      <c r="C58" s="156">
        <v>3398.1844</v>
      </c>
    </row>
    <row r="59" ht="16.5" spans="1:3">
      <c r="A59" s="157" t="s">
        <v>129</v>
      </c>
      <c r="B59" s="155" t="s">
        <v>130</v>
      </c>
      <c r="C59" s="156">
        <v>11241.5824</v>
      </c>
    </row>
    <row r="60" ht="16.5" spans="1:3">
      <c r="A60" s="157" t="s">
        <v>129</v>
      </c>
      <c r="B60" s="155" t="s">
        <v>131</v>
      </c>
      <c r="C60" s="156">
        <v>17246.7954</v>
      </c>
    </row>
    <row r="61" ht="16.5" spans="1:3">
      <c r="A61" s="157" t="s">
        <v>132</v>
      </c>
      <c r="B61" s="158" t="s">
        <v>133</v>
      </c>
      <c r="C61" s="156">
        <v>3218.301</v>
      </c>
    </row>
    <row r="62" ht="16.5" spans="1:3">
      <c r="A62" s="157" t="s">
        <v>132</v>
      </c>
      <c r="B62" s="158" t="s">
        <v>134</v>
      </c>
      <c r="C62" s="156">
        <v>8044.5918</v>
      </c>
    </row>
    <row r="63" spans="1:3">
      <c r="A63" s="157" t="s">
        <v>110</v>
      </c>
      <c r="B63" s="158" t="s">
        <v>135</v>
      </c>
      <c r="C63" s="159">
        <v>2707.9281</v>
      </c>
    </row>
    <row r="64" ht="16.5" spans="1:3">
      <c r="A64" s="157" t="s">
        <v>129</v>
      </c>
      <c r="B64" s="155" t="s">
        <v>136</v>
      </c>
      <c r="C64" s="156">
        <v>3481.7211</v>
      </c>
    </row>
    <row r="65" ht="16.5" spans="1:3">
      <c r="A65" s="160" t="s">
        <v>110</v>
      </c>
      <c r="B65" s="155" t="s">
        <v>137</v>
      </c>
      <c r="C65" s="156">
        <v>8739.5238</v>
      </c>
    </row>
    <row r="66" ht="16.5" spans="1:3">
      <c r="A66" s="157" t="s">
        <v>138</v>
      </c>
      <c r="B66" s="155" t="s">
        <v>139</v>
      </c>
      <c r="C66" s="156">
        <v>5965.1448</v>
      </c>
    </row>
    <row r="67" ht="16.5" spans="1:3">
      <c r="A67" s="160" t="s">
        <v>110</v>
      </c>
      <c r="B67" s="155" t="s">
        <v>140</v>
      </c>
      <c r="C67" s="156">
        <v>14043.9744</v>
      </c>
    </row>
    <row r="68" ht="16.5" spans="1:3">
      <c r="A68" s="157" t="s">
        <v>138</v>
      </c>
      <c r="B68" s="155" t="s">
        <v>141</v>
      </c>
      <c r="C68" s="156">
        <v>5294.9496</v>
      </c>
    </row>
  </sheetData>
  <mergeCells count="8">
    <mergeCell ref="A1:E1"/>
    <mergeCell ref="H1:L1"/>
    <mergeCell ref="A24:E24"/>
    <mergeCell ref="H24:L24"/>
    <mergeCell ref="E6:E17"/>
    <mergeCell ref="E29:E40"/>
    <mergeCell ref="L6:L17"/>
    <mergeCell ref="L29:L4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AE23"/>
  <sheetViews>
    <sheetView workbookViewId="0">
      <pane xSplit="2" ySplit="2" topLeftCell="Q13" activePane="bottomRight" state="frozen"/>
      <selection/>
      <selection pane="topRight"/>
      <selection pane="bottomLeft"/>
      <selection pane="bottomRight" activeCell="X23" sqref="X23:X24"/>
    </sheetView>
  </sheetViews>
  <sheetFormatPr defaultColWidth="9" defaultRowHeight="19.5" customHeight="1"/>
  <cols>
    <col min="1" max="1" width="15.375" style="94" customWidth="1"/>
    <col min="2" max="2" width="9" style="94"/>
    <col min="3" max="4" width="9" style="94" hidden="1" customWidth="1"/>
    <col min="5" max="6" width="9" style="94" customWidth="1"/>
    <col min="7" max="7" width="9" style="94" hidden="1" customWidth="1"/>
    <col min="8" max="8" width="10.125" style="95" customWidth="1"/>
    <col min="9" max="12" width="9" style="94" hidden="1" customWidth="1"/>
    <col min="13" max="13" width="9.875" style="95" customWidth="1"/>
    <col min="14" max="14" width="9" style="94" customWidth="1"/>
    <col min="15" max="15" width="12.875" style="95" customWidth="1"/>
    <col min="16" max="17" width="9" style="96" customWidth="1"/>
    <col min="18" max="18" width="9" style="97" customWidth="1"/>
    <col min="19" max="19" width="9" style="98" customWidth="1"/>
    <col min="20" max="20" width="10.375" style="94" customWidth="1"/>
    <col min="21" max="21" width="9" style="94" customWidth="1"/>
    <col min="22" max="22" width="9" style="99" customWidth="1"/>
    <col min="23" max="23" width="11.25" style="95" customWidth="1"/>
    <col min="24" max="24" width="14.5" style="94" customWidth="1"/>
    <col min="25" max="25" width="16" style="94" customWidth="1"/>
    <col min="26" max="26" width="9" style="94"/>
    <col min="27" max="29" width="9" style="100"/>
    <col min="30" max="30" width="10.375" style="100"/>
    <col min="31" max="31" width="9" style="100"/>
    <col min="32" max="16384" width="9" style="94"/>
  </cols>
  <sheetData>
    <row r="1" customHeight="1" spans="1:25">
      <c r="A1" s="86" t="s">
        <v>24</v>
      </c>
      <c r="B1" s="86" t="s">
        <v>25</v>
      </c>
      <c r="C1" s="101" t="s">
        <v>142</v>
      </c>
      <c r="D1" s="101"/>
      <c r="E1" s="101"/>
      <c r="F1" s="101"/>
      <c r="G1" s="101"/>
      <c r="H1" s="102"/>
      <c r="I1" s="111" t="s">
        <v>143</v>
      </c>
      <c r="J1" s="111"/>
      <c r="K1" s="111"/>
      <c r="L1" s="111"/>
      <c r="M1" s="112" t="s">
        <v>144</v>
      </c>
      <c r="N1" s="113"/>
      <c r="O1" s="112"/>
      <c r="P1" s="114" t="s">
        <v>79</v>
      </c>
      <c r="Q1" s="124"/>
      <c r="R1" s="125"/>
      <c r="S1" s="126"/>
      <c r="T1" s="127">
        <v>58</v>
      </c>
      <c r="U1" s="127"/>
      <c r="V1" s="128"/>
      <c r="W1" s="129"/>
      <c r="X1" s="130" t="s">
        <v>108</v>
      </c>
      <c r="Y1" s="86" t="s">
        <v>145</v>
      </c>
    </row>
    <row r="2" customHeight="1" spans="1:25">
      <c r="A2" s="86"/>
      <c r="B2" s="86"/>
      <c r="C2" s="86" t="s">
        <v>146</v>
      </c>
      <c r="D2" s="86" t="s">
        <v>147</v>
      </c>
      <c r="E2" s="86" t="s">
        <v>148</v>
      </c>
      <c r="F2" s="86" t="s">
        <v>147</v>
      </c>
      <c r="G2" s="86" t="s">
        <v>149</v>
      </c>
      <c r="H2" s="103" t="s">
        <v>53</v>
      </c>
      <c r="I2" s="86" t="s">
        <v>93</v>
      </c>
      <c r="J2" s="86" t="s">
        <v>147</v>
      </c>
      <c r="K2" s="86" t="s">
        <v>52</v>
      </c>
      <c r="L2" s="115" t="s">
        <v>53</v>
      </c>
      <c r="M2" s="87" t="s">
        <v>93</v>
      </c>
      <c r="N2" s="86" t="s">
        <v>147</v>
      </c>
      <c r="O2" s="116" t="s">
        <v>53</v>
      </c>
      <c r="P2" s="86" t="s">
        <v>93</v>
      </c>
      <c r="Q2" s="86" t="s">
        <v>147</v>
      </c>
      <c r="R2" s="131" t="s">
        <v>52</v>
      </c>
      <c r="S2" s="116" t="s">
        <v>53</v>
      </c>
      <c r="T2" s="86" t="s">
        <v>93</v>
      </c>
      <c r="U2" s="86" t="s">
        <v>147</v>
      </c>
      <c r="V2" s="131" t="s">
        <v>52</v>
      </c>
      <c r="W2" s="116" t="s">
        <v>53</v>
      </c>
      <c r="X2" s="130"/>
      <c r="Y2" s="86"/>
    </row>
    <row r="3" customHeight="1" spans="1:31">
      <c r="A3" s="86" t="s">
        <v>150</v>
      </c>
      <c r="B3" s="104" t="s">
        <v>64</v>
      </c>
      <c r="C3" s="35"/>
      <c r="D3" s="35"/>
      <c r="E3" s="4">
        <f ca="1">VLOOKUP(B3,大小月!A1:E5,2,0)</f>
        <v>56205.77</v>
      </c>
      <c r="F3" s="77">
        <v>0.1</v>
      </c>
      <c r="G3" s="35"/>
      <c r="H3" s="105">
        <f ca="1">E3*F3</f>
        <v>5620.577</v>
      </c>
      <c r="I3" s="35"/>
      <c r="J3" s="35"/>
      <c r="K3" s="35"/>
      <c r="L3" s="117"/>
      <c r="M3" s="90"/>
      <c r="N3" s="35"/>
      <c r="O3" s="118"/>
      <c r="P3" s="119"/>
      <c r="Q3" s="119"/>
      <c r="R3" s="132"/>
      <c r="S3" s="118"/>
      <c r="T3" s="107"/>
      <c r="U3" s="107"/>
      <c r="V3" s="133"/>
      <c r="W3" s="134"/>
      <c r="X3" s="135">
        <f ca="1">H3+L3+O3+S3+W3</f>
        <v>5620.577</v>
      </c>
      <c r="Y3" s="4"/>
      <c r="AA3" s="139"/>
      <c r="AC3" s="140"/>
      <c r="AD3" s="140"/>
      <c r="AE3" s="141"/>
    </row>
    <row r="4" customHeight="1" spans="1:29">
      <c r="A4" s="106" t="s">
        <v>65</v>
      </c>
      <c r="B4" s="104" t="s">
        <v>66</v>
      </c>
      <c r="C4" s="107"/>
      <c r="D4" s="107"/>
      <c r="E4" s="4"/>
      <c r="F4" s="107"/>
      <c r="G4" s="107"/>
      <c r="H4" s="105"/>
      <c r="I4" s="107"/>
      <c r="J4" s="107"/>
      <c r="K4" s="107"/>
      <c r="L4" s="120"/>
      <c r="M4" s="121"/>
      <c r="N4" s="107"/>
      <c r="O4" s="105"/>
      <c r="P4" s="122">
        <f>VLOOKUP(B4,大小月!G11:K19,2,0)</f>
        <v>95564.98</v>
      </c>
      <c r="Q4" s="136">
        <v>0.1</v>
      </c>
      <c r="R4" s="137">
        <v>300</v>
      </c>
      <c r="S4" s="105">
        <f t="shared" ref="S4:S9" si="0">P4*Q4+R4</f>
        <v>9856.498</v>
      </c>
      <c r="T4" s="107"/>
      <c r="U4" s="107"/>
      <c r="V4" s="133"/>
      <c r="W4" s="105"/>
      <c r="X4" s="135">
        <f>H4+L4+O4+S4+W4</f>
        <v>9856.498</v>
      </c>
      <c r="Y4" s="107"/>
      <c r="AA4" s="139"/>
      <c r="AC4" s="140"/>
    </row>
    <row r="5" customHeight="1" spans="1:29">
      <c r="A5" s="108" t="s">
        <v>69</v>
      </c>
      <c r="B5" s="104" t="s">
        <v>78</v>
      </c>
      <c r="C5" s="107"/>
      <c r="D5" s="107"/>
      <c r="E5" s="4">
        <f ca="1">VLOOKUP(B5,大小月!A3:E7,2,0)</f>
        <v>58525.17</v>
      </c>
      <c r="F5" s="77">
        <v>0.1</v>
      </c>
      <c r="G5" s="107"/>
      <c r="H5" s="105">
        <f ca="1">E5*F5</f>
        <v>5852.517</v>
      </c>
      <c r="I5" s="107"/>
      <c r="J5" s="107"/>
      <c r="K5" s="107"/>
      <c r="L5" s="120"/>
      <c r="M5" s="121"/>
      <c r="N5" s="107"/>
      <c r="O5" s="105"/>
      <c r="P5" s="122">
        <f>VLOOKUP(B5,大小月!G12:K20,2,0)</f>
        <v>3786.53</v>
      </c>
      <c r="Q5" s="136">
        <v>0.1</v>
      </c>
      <c r="R5" s="137"/>
      <c r="S5" s="105">
        <f t="shared" si="0"/>
        <v>378.653</v>
      </c>
      <c r="T5" s="107"/>
      <c r="U5" s="107"/>
      <c r="V5" s="133"/>
      <c r="W5" s="105"/>
      <c r="X5" s="135">
        <f ca="1" t="shared" ref="X4:X21" si="1">H5+L5+O5+S5+W5</f>
        <v>6231.17</v>
      </c>
      <c r="Y5" s="107"/>
      <c r="AA5" s="139"/>
      <c r="AC5" s="140"/>
    </row>
    <row r="6" customHeight="1" spans="1:26">
      <c r="A6" s="108" t="s">
        <v>67</v>
      </c>
      <c r="B6" s="104" t="s">
        <v>80</v>
      </c>
      <c r="C6" s="107"/>
      <c r="D6" s="107"/>
      <c r="E6" s="107"/>
      <c r="F6" s="107"/>
      <c r="G6" s="107"/>
      <c r="H6" s="105"/>
      <c r="I6" s="107"/>
      <c r="J6" s="107"/>
      <c r="K6" s="107"/>
      <c r="L6" s="120"/>
      <c r="M6" s="121"/>
      <c r="N6" s="107"/>
      <c r="O6" s="105"/>
      <c r="P6" s="122">
        <f>VLOOKUP(B6,大小月!G9:K17,2,0)</f>
        <v>80046.81</v>
      </c>
      <c r="Q6" s="136">
        <v>0.1</v>
      </c>
      <c r="R6" s="137">
        <v>300</v>
      </c>
      <c r="S6" s="105">
        <f t="shared" si="0"/>
        <v>8304.681</v>
      </c>
      <c r="T6" s="4"/>
      <c r="U6" s="107"/>
      <c r="V6" s="133"/>
      <c r="W6" s="105"/>
      <c r="X6" s="135">
        <f t="shared" si="1"/>
        <v>8304.681</v>
      </c>
      <c r="Y6" s="107"/>
      <c r="Z6" s="100"/>
    </row>
    <row r="7" customHeight="1" spans="1:26">
      <c r="A7" s="108" t="s">
        <v>69</v>
      </c>
      <c r="B7" s="104" t="s">
        <v>81</v>
      </c>
      <c r="C7" s="107"/>
      <c r="D7" s="107"/>
      <c r="E7" s="107"/>
      <c r="F7" s="107"/>
      <c r="G7" s="107"/>
      <c r="H7" s="105"/>
      <c r="I7" s="107"/>
      <c r="J7" s="107"/>
      <c r="K7" s="107"/>
      <c r="L7" s="120"/>
      <c r="M7" s="121"/>
      <c r="N7" s="107"/>
      <c r="O7" s="105"/>
      <c r="P7" s="122">
        <f>VLOOKUP(B7,大小月!G10:K18,2,0)</f>
        <v>50632.59</v>
      </c>
      <c r="Q7" s="136">
        <v>0.1</v>
      </c>
      <c r="R7" s="137"/>
      <c r="S7" s="105">
        <f t="shared" si="0"/>
        <v>5063.259</v>
      </c>
      <c r="T7" s="4"/>
      <c r="U7" s="107"/>
      <c r="V7" s="133"/>
      <c r="W7" s="105"/>
      <c r="X7" s="135">
        <f t="shared" si="1"/>
        <v>5063.259</v>
      </c>
      <c r="Y7" s="107"/>
      <c r="Z7" s="100"/>
    </row>
    <row r="8" customHeight="1" spans="1:26">
      <c r="A8" s="108" t="s">
        <v>69</v>
      </c>
      <c r="B8" s="104" t="s">
        <v>82</v>
      </c>
      <c r="C8" s="107"/>
      <c r="D8" s="107"/>
      <c r="E8" s="107"/>
      <c r="F8" s="107"/>
      <c r="G8" s="107"/>
      <c r="H8" s="105"/>
      <c r="I8" s="107"/>
      <c r="J8" s="107"/>
      <c r="K8" s="107"/>
      <c r="L8" s="120"/>
      <c r="M8" s="121"/>
      <c r="N8" s="107"/>
      <c r="O8" s="105"/>
      <c r="P8" s="122">
        <f>VLOOKUP(B8,大小月!G11:K19,2,0)</f>
        <v>75505.68</v>
      </c>
      <c r="Q8" s="136">
        <v>0.1</v>
      </c>
      <c r="R8" s="137"/>
      <c r="S8" s="105">
        <f t="shared" si="0"/>
        <v>7550.568</v>
      </c>
      <c r="T8" s="4"/>
      <c r="U8" s="107"/>
      <c r="V8" s="133"/>
      <c r="W8" s="105"/>
      <c r="X8" s="135">
        <f t="shared" si="1"/>
        <v>7550.568</v>
      </c>
      <c r="Y8" s="107"/>
      <c r="Z8" s="100"/>
    </row>
    <row r="9" customHeight="1" spans="1:26">
      <c r="A9" s="108" t="s">
        <v>69</v>
      </c>
      <c r="B9" s="104" t="s">
        <v>83</v>
      </c>
      <c r="C9" s="107"/>
      <c r="D9" s="107"/>
      <c r="E9" s="107"/>
      <c r="F9" s="107"/>
      <c r="G9" s="107"/>
      <c r="H9" s="105"/>
      <c r="I9" s="107"/>
      <c r="J9" s="107"/>
      <c r="K9" s="107"/>
      <c r="L9" s="120"/>
      <c r="M9" s="121"/>
      <c r="N9" s="107"/>
      <c r="O9" s="105"/>
      <c r="P9" s="122">
        <f>VLOOKUP(B9,大小月!G12:K20,2,0)</f>
        <v>42320.37</v>
      </c>
      <c r="Q9" s="136">
        <v>0.1</v>
      </c>
      <c r="R9" s="137"/>
      <c r="S9" s="105">
        <f t="shared" si="0"/>
        <v>4232.037</v>
      </c>
      <c r="T9" s="4"/>
      <c r="U9" s="107"/>
      <c r="V9" s="133"/>
      <c r="W9" s="105"/>
      <c r="X9" s="135">
        <f t="shared" si="1"/>
        <v>4232.037</v>
      </c>
      <c r="Y9" s="107"/>
      <c r="Z9" s="100"/>
    </row>
    <row r="10" customHeight="1" spans="1:29">
      <c r="A10" s="108" t="s">
        <v>67</v>
      </c>
      <c r="B10" s="104" t="s">
        <v>68</v>
      </c>
      <c r="C10" s="107"/>
      <c r="D10" s="107"/>
      <c r="E10" s="107"/>
      <c r="F10" s="107"/>
      <c r="G10" s="107"/>
      <c r="H10" s="105"/>
      <c r="I10" s="107"/>
      <c r="J10" s="107"/>
      <c r="K10" s="107"/>
      <c r="L10" s="120"/>
      <c r="M10" s="121"/>
      <c r="N10" s="107"/>
      <c r="O10" s="105"/>
      <c r="P10" s="122"/>
      <c r="Q10" s="122"/>
      <c r="R10" s="137"/>
      <c r="S10" s="105"/>
      <c r="T10" s="4">
        <f>VLOOKUP(B10,大小月!A11:E22,2,0)</f>
        <v>112384.29</v>
      </c>
      <c r="U10" s="77">
        <v>0.06</v>
      </c>
      <c r="V10" s="138">
        <v>600</v>
      </c>
      <c r="W10" s="105">
        <f>T10*U10+V10</f>
        <v>7343.0574</v>
      </c>
      <c r="X10" s="135">
        <f t="shared" si="1"/>
        <v>7343.0574</v>
      </c>
      <c r="Y10" s="107"/>
      <c r="AA10" s="139"/>
      <c r="AC10" s="140"/>
    </row>
    <row r="11" customHeight="1" spans="1:29">
      <c r="A11" s="108" t="s">
        <v>69</v>
      </c>
      <c r="B11" s="104" t="s">
        <v>70</v>
      </c>
      <c r="C11" s="107"/>
      <c r="D11" s="107"/>
      <c r="E11" s="107"/>
      <c r="F11" s="107"/>
      <c r="G11" s="107"/>
      <c r="H11" s="105"/>
      <c r="I11" s="107"/>
      <c r="J11" s="107"/>
      <c r="K11" s="107"/>
      <c r="L11" s="120"/>
      <c r="M11" s="121"/>
      <c r="N11" s="107"/>
      <c r="O11" s="105"/>
      <c r="P11" s="122"/>
      <c r="Q11" s="122"/>
      <c r="R11" s="137"/>
      <c r="S11" s="105"/>
      <c r="T11" s="4">
        <f>VLOOKUP(B11,大小月!A12:E23,2,0)</f>
        <v>127823.32</v>
      </c>
      <c r="U11" s="77">
        <v>0.07</v>
      </c>
      <c r="V11" s="138">
        <v>1000</v>
      </c>
      <c r="W11" s="105">
        <f>T11*U11+V11</f>
        <v>9947.6324</v>
      </c>
      <c r="X11" s="135">
        <f t="shared" si="1"/>
        <v>9947.6324</v>
      </c>
      <c r="Y11" s="107"/>
      <c r="AA11" s="139"/>
      <c r="AC11" s="140"/>
    </row>
    <row r="12" customHeight="1" spans="1:31">
      <c r="A12" s="108" t="s">
        <v>69</v>
      </c>
      <c r="B12" s="109" t="s">
        <v>71</v>
      </c>
      <c r="C12" s="107"/>
      <c r="D12" s="107"/>
      <c r="E12" s="107"/>
      <c r="F12" s="107"/>
      <c r="G12" s="107"/>
      <c r="H12" s="105"/>
      <c r="I12" s="107"/>
      <c r="J12" s="107"/>
      <c r="K12" s="107"/>
      <c r="L12" s="120"/>
      <c r="M12" s="121"/>
      <c r="N12" s="107"/>
      <c r="O12" s="105"/>
      <c r="P12" s="122"/>
      <c r="Q12" s="122"/>
      <c r="R12" s="137"/>
      <c r="S12" s="118"/>
      <c r="T12" s="4">
        <f>VLOOKUP(B12,大小月!A13:E24,2,0)</f>
        <v>112420.91</v>
      </c>
      <c r="U12" s="77">
        <v>0.06</v>
      </c>
      <c r="V12" s="138">
        <v>600</v>
      </c>
      <c r="W12" s="105">
        <f>T12*U12+V12</f>
        <v>7345.2546</v>
      </c>
      <c r="X12" s="135">
        <f t="shared" si="1"/>
        <v>7345.2546</v>
      </c>
      <c r="Y12" s="107"/>
      <c r="AA12" s="139"/>
      <c r="AC12" s="140"/>
      <c r="AD12" s="140"/>
      <c r="AE12" s="141"/>
    </row>
    <row r="13" customHeight="1" spans="1:29">
      <c r="A13" s="108" t="s">
        <v>69</v>
      </c>
      <c r="B13" s="109" t="s">
        <v>72</v>
      </c>
      <c r="C13" s="107"/>
      <c r="D13" s="107"/>
      <c r="E13" s="107"/>
      <c r="F13" s="107"/>
      <c r="G13" s="107"/>
      <c r="H13" s="105"/>
      <c r="I13" s="107"/>
      <c r="J13" s="107"/>
      <c r="K13" s="107"/>
      <c r="L13" s="120"/>
      <c r="M13" s="121"/>
      <c r="N13" s="107"/>
      <c r="O13" s="105"/>
      <c r="P13" s="122"/>
      <c r="Q13" s="122"/>
      <c r="R13" s="137"/>
      <c r="S13" s="105"/>
      <c r="T13" s="4">
        <f>VLOOKUP(B13,大小月!A7:E18,2,0)</f>
        <v>69403.02</v>
      </c>
      <c r="U13" s="77">
        <v>0.05</v>
      </c>
      <c r="V13" s="138"/>
      <c r="W13" s="105">
        <f t="shared" ref="W11:W17" si="2">T13*U13+V13</f>
        <v>3470.151</v>
      </c>
      <c r="X13" s="135">
        <f t="shared" si="1"/>
        <v>3470.151</v>
      </c>
      <c r="Y13" s="107"/>
      <c r="AC13" s="140"/>
    </row>
    <row r="14" customHeight="1" spans="1:31">
      <c r="A14" s="108" t="s">
        <v>69</v>
      </c>
      <c r="B14" s="109" t="s">
        <v>73</v>
      </c>
      <c r="C14" s="107"/>
      <c r="D14" s="107"/>
      <c r="E14" s="107"/>
      <c r="F14" s="107"/>
      <c r="G14" s="107"/>
      <c r="H14" s="105"/>
      <c r="I14" s="107"/>
      <c r="J14" s="107"/>
      <c r="K14" s="107"/>
      <c r="L14" s="120"/>
      <c r="M14" s="121"/>
      <c r="N14" s="107"/>
      <c r="O14" s="105"/>
      <c r="P14" s="122"/>
      <c r="Q14" s="122"/>
      <c r="R14" s="137"/>
      <c r="S14" s="105"/>
      <c r="T14" s="4">
        <f>VLOOKUP(B14,大小月!A8:E19,2,0)</f>
        <v>72583.78</v>
      </c>
      <c r="U14" s="77">
        <v>0.05</v>
      </c>
      <c r="V14" s="138"/>
      <c r="W14" s="105">
        <f t="shared" si="2"/>
        <v>3629.189</v>
      </c>
      <c r="X14" s="135">
        <f t="shared" si="1"/>
        <v>3629.189</v>
      </c>
      <c r="Y14" s="107"/>
      <c r="AC14" s="140"/>
      <c r="AD14" s="140"/>
      <c r="AE14" s="141"/>
    </row>
    <row r="15" customHeight="1" spans="1:29">
      <c r="A15" s="108" t="s">
        <v>69</v>
      </c>
      <c r="B15" s="104" t="s">
        <v>74</v>
      </c>
      <c r="C15" s="107"/>
      <c r="D15" s="107"/>
      <c r="E15" s="107"/>
      <c r="F15" s="107"/>
      <c r="G15" s="107"/>
      <c r="H15" s="105"/>
      <c r="I15" s="107"/>
      <c r="J15" s="107"/>
      <c r="K15" s="107"/>
      <c r="L15" s="120"/>
      <c r="M15" s="121"/>
      <c r="N15" s="107"/>
      <c r="O15" s="105"/>
      <c r="P15" s="122"/>
      <c r="Q15" s="122"/>
      <c r="R15" s="137"/>
      <c r="S15" s="105"/>
      <c r="T15" s="4">
        <f>VLOOKUP(B15,大小月!A9:E20,2,0)</f>
        <v>158831.3</v>
      </c>
      <c r="U15" s="77">
        <v>0.09</v>
      </c>
      <c r="V15" s="138">
        <v>1500</v>
      </c>
      <c r="W15" s="105">
        <f t="shared" si="2"/>
        <v>15794.817</v>
      </c>
      <c r="X15" s="135">
        <f t="shared" si="1"/>
        <v>15794.817</v>
      </c>
      <c r="Y15" s="107"/>
      <c r="AC15" s="140"/>
    </row>
    <row r="16" customHeight="1" spans="1:31">
      <c r="A16" s="108" t="s">
        <v>69</v>
      </c>
      <c r="B16" s="104" t="s">
        <v>75</v>
      </c>
      <c r="C16" s="107"/>
      <c r="D16" s="107"/>
      <c r="E16" s="107"/>
      <c r="F16" s="107"/>
      <c r="G16" s="107"/>
      <c r="H16" s="105"/>
      <c r="I16" s="107"/>
      <c r="J16" s="107"/>
      <c r="K16" s="107"/>
      <c r="L16" s="120"/>
      <c r="M16" s="121"/>
      <c r="N16" s="107"/>
      <c r="O16" s="105"/>
      <c r="P16" s="122"/>
      <c r="Q16" s="122"/>
      <c r="R16" s="137"/>
      <c r="S16" s="118"/>
      <c r="T16" s="4">
        <f>VLOOKUP(B16,大小月!A10:E21,2,0)</f>
        <v>2644.85</v>
      </c>
      <c r="U16" s="77">
        <v>0.03</v>
      </c>
      <c r="V16" s="138"/>
      <c r="W16" s="105">
        <f t="shared" si="2"/>
        <v>79.3455</v>
      </c>
      <c r="X16" s="135">
        <f t="shared" si="1"/>
        <v>79.3455</v>
      </c>
      <c r="Y16" s="107"/>
      <c r="AC16" s="140"/>
      <c r="AD16" s="140"/>
      <c r="AE16" s="141"/>
    </row>
    <row r="17" customHeight="1" spans="1:31">
      <c r="A17" s="108" t="s">
        <v>69</v>
      </c>
      <c r="B17" s="104" t="s">
        <v>76</v>
      </c>
      <c r="C17" s="107"/>
      <c r="D17" s="107"/>
      <c r="E17" s="107"/>
      <c r="F17" s="107"/>
      <c r="G17" s="107"/>
      <c r="H17" s="105"/>
      <c r="I17" s="107"/>
      <c r="J17" s="107"/>
      <c r="K17" s="107"/>
      <c r="L17" s="120"/>
      <c r="M17" s="121"/>
      <c r="N17" s="107"/>
      <c r="O17" s="105"/>
      <c r="P17" s="122"/>
      <c r="Q17" s="122"/>
      <c r="R17" s="137"/>
      <c r="S17" s="105"/>
      <c r="T17" s="4">
        <f>VLOOKUP(B17,大小月!A11:E22,2,0)</f>
        <v>1072.1</v>
      </c>
      <c r="U17" s="77">
        <v>0.03</v>
      </c>
      <c r="V17" s="138"/>
      <c r="W17" s="105">
        <f t="shared" si="2"/>
        <v>32.163</v>
      </c>
      <c r="X17" s="135">
        <f t="shared" si="1"/>
        <v>32.163</v>
      </c>
      <c r="Y17" s="107"/>
      <c r="Z17" s="100"/>
      <c r="AD17" s="140"/>
      <c r="AE17" s="141"/>
    </row>
    <row r="18" customHeight="1" spans="1:26">
      <c r="A18" s="108" t="s">
        <v>69</v>
      </c>
      <c r="B18" s="104" t="s">
        <v>85</v>
      </c>
      <c r="C18" s="107"/>
      <c r="D18" s="107"/>
      <c r="E18" s="107"/>
      <c r="F18" s="107"/>
      <c r="G18" s="107"/>
      <c r="H18" s="105"/>
      <c r="I18" s="107"/>
      <c r="J18" s="107"/>
      <c r="K18" s="107"/>
      <c r="L18" s="120"/>
      <c r="M18" s="121">
        <f>VLOOKUP(B18,大小月!H1:K5,2,0)</f>
        <v>121907.03</v>
      </c>
      <c r="N18" s="107"/>
      <c r="O18" s="105">
        <f>VLOOKUP(B18,大小月!H1:K5,4,0)</f>
        <v>6784.1135</v>
      </c>
      <c r="P18" s="122"/>
      <c r="Q18" s="122"/>
      <c r="R18" s="137"/>
      <c r="S18" s="105"/>
      <c r="T18" s="4"/>
      <c r="U18" s="107"/>
      <c r="V18" s="133"/>
      <c r="W18" s="105"/>
      <c r="X18" s="135">
        <f t="shared" si="1"/>
        <v>6784.1135</v>
      </c>
      <c r="Y18" s="107"/>
      <c r="Z18" s="100"/>
    </row>
    <row r="19" customHeight="1" spans="1:26">
      <c r="A19" s="108" t="s">
        <v>69</v>
      </c>
      <c r="B19" s="104" t="s">
        <v>86</v>
      </c>
      <c r="C19" s="107"/>
      <c r="D19" s="107"/>
      <c r="E19" s="107"/>
      <c r="F19" s="107"/>
      <c r="G19" s="107"/>
      <c r="H19" s="105"/>
      <c r="I19" s="107"/>
      <c r="J19" s="107"/>
      <c r="K19" s="107"/>
      <c r="L19" s="120"/>
      <c r="M19" s="121">
        <f>VLOOKUP(B19,大小月!H2:K6,2,0)</f>
        <v>110349.39</v>
      </c>
      <c r="N19" s="107"/>
      <c r="O19" s="105">
        <f>VLOOKUP(B19,大小月!H2:K6,4,0)</f>
        <v>6442.96055</v>
      </c>
      <c r="P19" s="122"/>
      <c r="Q19" s="122"/>
      <c r="R19" s="137"/>
      <c r="S19" s="118"/>
      <c r="T19" s="4"/>
      <c r="U19" s="107"/>
      <c r="V19" s="133"/>
      <c r="W19" s="105"/>
      <c r="X19" s="135">
        <f t="shared" si="1"/>
        <v>6442.96055</v>
      </c>
      <c r="Y19" s="107"/>
      <c r="Z19" s="100"/>
    </row>
    <row r="20" customHeight="1" spans="1:26">
      <c r="A20" s="108" t="s">
        <v>69</v>
      </c>
      <c r="B20" s="104" t="s">
        <v>87</v>
      </c>
      <c r="C20" s="107"/>
      <c r="D20" s="107"/>
      <c r="E20" s="107"/>
      <c r="F20" s="107"/>
      <c r="G20" s="107"/>
      <c r="H20" s="105"/>
      <c r="I20" s="107"/>
      <c r="J20" s="107"/>
      <c r="K20" s="107"/>
      <c r="L20" s="120"/>
      <c r="M20" s="121">
        <f>VLOOKUP(B20,大小月!H3:K7,2,0)</f>
        <v>99540.69</v>
      </c>
      <c r="N20" s="107"/>
      <c r="O20" s="105">
        <f>VLOOKUP(B20,大小月!H3:K7,4,0)</f>
        <v>8577.93035</v>
      </c>
      <c r="P20" s="122"/>
      <c r="Q20" s="122"/>
      <c r="R20" s="137"/>
      <c r="S20" s="105"/>
      <c r="T20" s="4"/>
      <c r="U20" s="107"/>
      <c r="V20" s="133"/>
      <c r="W20" s="105"/>
      <c r="X20" s="135">
        <f t="shared" si="1"/>
        <v>8577.93035</v>
      </c>
      <c r="Y20" s="107"/>
      <c r="Z20" s="100"/>
    </row>
    <row r="21" customHeight="1" spans="1:26">
      <c r="A21" s="108" t="s">
        <v>69</v>
      </c>
      <c r="B21" s="104" t="s">
        <v>88</v>
      </c>
      <c r="C21" s="107"/>
      <c r="D21" s="107"/>
      <c r="E21" s="107"/>
      <c r="F21" s="107"/>
      <c r="G21" s="107"/>
      <c r="H21" s="105"/>
      <c r="I21" s="107"/>
      <c r="J21" s="107"/>
      <c r="K21" s="107"/>
      <c r="L21" s="120"/>
      <c r="M21" s="121"/>
      <c r="N21" s="107"/>
      <c r="O21" s="105"/>
      <c r="P21" s="122"/>
      <c r="Q21" s="122"/>
      <c r="R21" s="137"/>
      <c r="S21" s="105"/>
      <c r="T21" s="4"/>
      <c r="U21" s="107"/>
      <c r="V21" s="133"/>
      <c r="W21" s="105"/>
      <c r="X21" s="135">
        <f t="shared" si="1"/>
        <v>0</v>
      </c>
      <c r="Y21" s="107"/>
      <c r="Z21" s="100"/>
    </row>
    <row r="22" customHeight="1" spans="1:26">
      <c r="A22" s="110" t="s">
        <v>108</v>
      </c>
      <c r="B22" s="110"/>
      <c r="C22" s="110"/>
      <c r="D22" s="110"/>
      <c r="E22" s="110"/>
      <c r="F22" s="110"/>
      <c r="G22" s="110"/>
      <c r="H22" s="110">
        <f ca="1">SUM(H3:H21)</f>
        <v>11473.094</v>
      </c>
      <c r="I22" s="110">
        <f>SUM(I3:I21)</f>
        <v>0</v>
      </c>
      <c r="J22" s="110">
        <f>SUM(J3:J21)</f>
        <v>0</v>
      </c>
      <c r="K22" s="110">
        <f>SUM(K3:K21)</f>
        <v>0</v>
      </c>
      <c r="L22" s="110">
        <f>SUM(L3:L21)</f>
        <v>0</v>
      </c>
      <c r="M22" s="123"/>
      <c r="N22" s="110"/>
      <c r="O22" s="123">
        <f>SUM(O3:O21)</f>
        <v>21805.0044</v>
      </c>
      <c r="P22" s="110"/>
      <c r="Q22" s="110"/>
      <c r="R22" s="110">
        <f>SUM(R3:R21)</f>
        <v>600</v>
      </c>
      <c r="S22" s="110">
        <f>SUM(S3:S21)</f>
        <v>35385.696</v>
      </c>
      <c r="T22" s="110"/>
      <c r="U22" s="110"/>
      <c r="V22" s="110">
        <f>SUM(V3:V21)</f>
        <v>3700</v>
      </c>
      <c r="W22" s="110">
        <f>SUM(W3:W21)</f>
        <v>47641.6099</v>
      </c>
      <c r="X22" s="123">
        <f ca="1">SUM(X3:X21)</f>
        <v>116305.4043</v>
      </c>
      <c r="Y22" s="110"/>
      <c r="Z22" s="100"/>
    </row>
    <row r="23" customHeight="1" spans="26:26">
      <c r="Z23" s="100"/>
    </row>
  </sheetData>
  <mergeCells count="10">
    <mergeCell ref="C1:H1"/>
    <mergeCell ref="I1:L1"/>
    <mergeCell ref="M1:O1"/>
    <mergeCell ref="P1:S1"/>
    <mergeCell ref="T1:W1"/>
    <mergeCell ref="A22:B22"/>
    <mergeCell ref="A1:A2"/>
    <mergeCell ref="B1:B2"/>
    <mergeCell ref="X1:X2"/>
    <mergeCell ref="Y1:Y2"/>
  </mergeCells>
  <conditionalFormatting sqref="B3">
    <cfRule type="duplicateValues" dxfId="0" priority="10"/>
  </conditionalFormatting>
  <conditionalFormatting sqref="B6">
    <cfRule type="duplicateValues" dxfId="0" priority="3"/>
  </conditionalFormatting>
  <conditionalFormatting sqref="B7">
    <cfRule type="duplicateValues" dxfId="0" priority="4"/>
  </conditionalFormatting>
  <conditionalFormatting sqref="B10">
    <cfRule type="duplicateValues" dxfId="0" priority="6"/>
  </conditionalFormatting>
  <conditionalFormatting sqref="B11">
    <cfRule type="duplicateValues" dxfId="0" priority="5"/>
  </conditionalFormatting>
  <conditionalFormatting sqref="B12">
    <cfRule type="duplicateValues" dxfId="0" priority="8"/>
  </conditionalFormatting>
  <conditionalFormatting sqref="B13">
    <cfRule type="duplicateValues" dxfId="0" priority="9"/>
  </conditionalFormatting>
  <conditionalFormatting sqref="B14">
    <cfRule type="duplicateValues" dxfId="0" priority="7"/>
  </conditionalFormatting>
  <conditionalFormatting sqref="B8:B9">
    <cfRule type="duplicateValues" dxfId="0" priority="2"/>
  </conditionalFormatting>
  <conditionalFormatting sqref="B16:B21">
    <cfRule type="duplicateValues" dxfId="0" priority="1"/>
  </conditionalFormatting>
  <conditionalFormatting sqref="B4:B5 B15">
    <cfRule type="duplicateValues" dxfId="0" priority="1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G7" sqref="G7"/>
    </sheetView>
  </sheetViews>
  <sheetFormatPr defaultColWidth="9" defaultRowHeight="13.5"/>
  <cols>
    <col min="1" max="1" width="10.625" customWidth="1"/>
    <col min="2" max="2" width="11.375" customWidth="1"/>
    <col min="3" max="3" width="8.75" customWidth="1"/>
    <col min="4" max="4" width="6.375" customWidth="1"/>
    <col min="5" max="5" width="11.375" style="68" customWidth="1"/>
    <col min="6" max="6" width="7.5" customWidth="1"/>
    <col min="7" max="7" width="11.25" customWidth="1"/>
    <col min="8" max="8" width="11.625"/>
    <col min="9" max="9" width="10.875" style="61" customWidth="1"/>
    <col min="10" max="10" width="11.5" style="68"/>
    <col min="11" max="11" width="12.875" style="69"/>
    <col min="12" max="12" width="7" customWidth="1"/>
    <col min="13" max="13" width="9.375"/>
    <col min="14" max="14" width="11.625"/>
    <col min="15" max="15" width="10" customWidth="1"/>
    <col min="16" max="16" width="10.375" style="68"/>
    <col min="17" max="17" width="8.75" style="61" customWidth="1"/>
    <col min="18" max="18" width="10.375" style="68"/>
  </cols>
  <sheetData>
    <row r="1" ht="19" customHeight="1" spans="1:18">
      <c r="A1" s="70" t="s">
        <v>77</v>
      </c>
      <c r="B1" s="71"/>
      <c r="C1" s="71"/>
      <c r="D1" s="71"/>
      <c r="E1" s="72"/>
      <c r="F1" s="73"/>
      <c r="H1" s="70" t="s">
        <v>100</v>
      </c>
      <c r="I1" s="71"/>
      <c r="J1" s="71"/>
      <c r="K1" s="71"/>
      <c r="M1" s="86" t="s">
        <v>87</v>
      </c>
      <c r="N1" s="78" t="s">
        <v>151</v>
      </c>
      <c r="O1" s="86" t="s">
        <v>152</v>
      </c>
      <c r="P1" s="87" t="s">
        <v>32</v>
      </c>
      <c r="Q1" s="86" t="s">
        <v>95</v>
      </c>
      <c r="R1" s="87" t="s">
        <v>153</v>
      </c>
    </row>
    <row r="2" spans="1:18">
      <c r="A2" s="74" t="s">
        <v>25</v>
      </c>
      <c r="B2" s="74" t="s">
        <v>151</v>
      </c>
      <c r="C2" s="74" t="s">
        <v>154</v>
      </c>
      <c r="D2" s="74" t="s">
        <v>52</v>
      </c>
      <c r="E2" s="75" t="s">
        <v>153</v>
      </c>
      <c r="H2" s="76" t="s">
        <v>25</v>
      </c>
      <c r="I2" s="76" t="s">
        <v>151</v>
      </c>
      <c r="J2" s="82" t="s">
        <v>52</v>
      </c>
      <c r="K2" s="82" t="s">
        <v>153</v>
      </c>
      <c r="M2" s="4" t="s">
        <v>155</v>
      </c>
      <c r="N2" s="88">
        <v>27865.44</v>
      </c>
      <c r="O2" s="89">
        <v>0.035</v>
      </c>
      <c r="P2" s="90">
        <f>N2*O2</f>
        <v>975.2904</v>
      </c>
      <c r="Q2" s="65">
        <v>0</v>
      </c>
      <c r="R2" s="90">
        <f>P2+Q2</f>
        <v>975.2904</v>
      </c>
    </row>
    <row r="3" spans="1:18">
      <c r="A3" s="4" t="s">
        <v>78</v>
      </c>
      <c r="B3" s="4">
        <v>58525.17</v>
      </c>
      <c r="C3" s="77">
        <v>0.1</v>
      </c>
      <c r="D3" s="4" t="s">
        <v>156</v>
      </c>
      <c r="E3" s="65">
        <f>B3*C3</f>
        <v>5852.517</v>
      </c>
      <c r="H3" s="78" t="s">
        <v>87</v>
      </c>
      <c r="I3" s="65">
        <f>N6</f>
        <v>99540.69</v>
      </c>
      <c r="J3" s="65" t="s">
        <v>156</v>
      </c>
      <c r="K3" s="65">
        <f>R6</f>
        <v>8577.93035</v>
      </c>
      <c r="M3" s="4" t="s">
        <v>157</v>
      </c>
      <c r="N3" s="88">
        <v>3460.61</v>
      </c>
      <c r="O3" s="89">
        <v>0.055</v>
      </c>
      <c r="P3" s="90">
        <f>N3*O3</f>
        <v>190.33355</v>
      </c>
      <c r="Q3" s="65">
        <v>0</v>
      </c>
      <c r="R3" s="90">
        <f>P3+Q3</f>
        <v>190.33355</v>
      </c>
    </row>
    <row r="4" spans="1:18">
      <c r="A4" s="4" t="s">
        <v>64</v>
      </c>
      <c r="B4" s="4">
        <v>56205.77</v>
      </c>
      <c r="C4" s="77">
        <v>0.1</v>
      </c>
      <c r="D4" s="4" t="s">
        <v>156</v>
      </c>
      <c r="E4" s="65">
        <f>B4*C4</f>
        <v>5620.577</v>
      </c>
      <c r="H4" s="78" t="s">
        <v>85</v>
      </c>
      <c r="I4" s="65">
        <f>N15</f>
        <v>121907.03</v>
      </c>
      <c r="J4" s="65" t="s">
        <v>156</v>
      </c>
      <c r="K4" s="65">
        <f>R15</f>
        <v>6784.1135</v>
      </c>
      <c r="M4" s="4" t="s">
        <v>158</v>
      </c>
      <c r="N4" s="88">
        <v>4565.2</v>
      </c>
      <c r="O4" s="89">
        <v>0.09</v>
      </c>
      <c r="P4" s="90">
        <f>N4*O4</f>
        <v>410.868</v>
      </c>
      <c r="Q4" s="65">
        <v>0</v>
      </c>
      <c r="R4" s="90">
        <f>P4+Q4</f>
        <v>410.868</v>
      </c>
    </row>
    <row r="5" spans="1:18">
      <c r="A5" s="79" t="s">
        <v>108</v>
      </c>
      <c r="B5" s="79">
        <f ca="1">SUM(B3:B5)</f>
        <v>114730.94</v>
      </c>
      <c r="C5" s="79"/>
      <c r="D5" s="79">
        <f ca="1">SUM(D3:D5)</f>
        <v>0</v>
      </c>
      <c r="E5" s="80">
        <f ca="1">SUM(E3:E5)</f>
        <v>11473.094</v>
      </c>
      <c r="H5" s="78" t="s">
        <v>86</v>
      </c>
      <c r="I5" s="65">
        <f>N24</f>
        <v>110349.39</v>
      </c>
      <c r="J5" s="65" t="s">
        <v>156</v>
      </c>
      <c r="K5" s="65">
        <f>R24</f>
        <v>6442.96055</v>
      </c>
      <c r="M5" s="4" t="s">
        <v>159</v>
      </c>
      <c r="N5" s="4">
        <v>63649.44</v>
      </c>
      <c r="O5" s="89">
        <v>0.11</v>
      </c>
      <c r="P5" s="90">
        <f>N5*O5</f>
        <v>7001.4384</v>
      </c>
      <c r="Q5" s="65">
        <v>0</v>
      </c>
      <c r="R5" s="90">
        <f>P5+Q5</f>
        <v>7001.4384</v>
      </c>
    </row>
    <row r="6" spans="8:18">
      <c r="H6" s="79" t="s">
        <v>108</v>
      </c>
      <c r="I6" s="79">
        <f>SUM(I3:I5)</f>
        <v>331797.11</v>
      </c>
      <c r="J6" s="79"/>
      <c r="K6" s="80">
        <f>SUM(K3:K5)</f>
        <v>21805.0044</v>
      </c>
      <c r="M6" s="79" t="s">
        <v>108</v>
      </c>
      <c r="N6" s="79">
        <v>99540.69</v>
      </c>
      <c r="O6" s="91"/>
      <c r="P6" s="92">
        <f>SUM(P2:P5)</f>
        <v>8577.93035</v>
      </c>
      <c r="Q6" s="79"/>
      <c r="R6" s="92">
        <f>SUM(R2:R5)</f>
        <v>8577.93035</v>
      </c>
    </row>
    <row r="8" spans="1:18">
      <c r="A8" s="81"/>
      <c r="M8" s="78" t="s">
        <v>85</v>
      </c>
      <c r="N8" s="78" t="s">
        <v>151</v>
      </c>
      <c r="O8" s="86" t="s">
        <v>152</v>
      </c>
      <c r="P8" s="87" t="s">
        <v>32</v>
      </c>
      <c r="Q8" s="86" t="s">
        <v>95</v>
      </c>
      <c r="R8" s="87" t="s">
        <v>153</v>
      </c>
    </row>
    <row r="9" spans="13:18">
      <c r="M9" s="88" t="s">
        <v>155</v>
      </c>
      <c r="N9" s="88">
        <v>34671.41</v>
      </c>
      <c r="O9" s="89">
        <v>0.035</v>
      </c>
      <c r="P9" s="90">
        <f t="shared" ref="P9:P14" si="0">N9*O9</f>
        <v>1213.49935</v>
      </c>
      <c r="Q9" s="65">
        <v>0</v>
      </c>
      <c r="R9" s="90">
        <f t="shared" ref="R9:R14" si="1">P9+Q9</f>
        <v>1213.49935</v>
      </c>
    </row>
    <row r="10" spans="13:18">
      <c r="M10" s="88" t="s">
        <v>160</v>
      </c>
      <c r="N10" s="88">
        <v>37468.21</v>
      </c>
      <c r="O10" s="89">
        <v>0.055</v>
      </c>
      <c r="P10" s="90">
        <f t="shared" si="0"/>
        <v>2060.75155</v>
      </c>
      <c r="Q10" s="65">
        <v>0</v>
      </c>
      <c r="R10" s="90">
        <f t="shared" si="1"/>
        <v>2060.75155</v>
      </c>
    </row>
    <row r="11" ht="20" customHeight="1" spans="1:18">
      <c r="A11" s="70">
        <v>58</v>
      </c>
      <c r="B11" s="71"/>
      <c r="C11" s="71"/>
      <c r="D11" s="71"/>
      <c r="E11" s="72"/>
      <c r="G11" s="70" t="s">
        <v>79</v>
      </c>
      <c r="H11" s="71"/>
      <c r="I11" s="71"/>
      <c r="J11" s="71"/>
      <c r="K11" s="72"/>
      <c r="M11" s="88" t="s">
        <v>157</v>
      </c>
      <c r="N11" s="88">
        <v>24579.82</v>
      </c>
      <c r="O11" s="89">
        <v>0.055</v>
      </c>
      <c r="P11" s="90">
        <f t="shared" si="0"/>
        <v>1351.8901</v>
      </c>
      <c r="Q11" s="65">
        <v>0</v>
      </c>
      <c r="R11" s="90">
        <f t="shared" si="1"/>
        <v>1351.8901</v>
      </c>
    </row>
    <row r="12" spans="1:18">
      <c r="A12" s="76" t="s">
        <v>25</v>
      </c>
      <c r="B12" s="76" t="s">
        <v>151</v>
      </c>
      <c r="C12" s="76" t="s">
        <v>154</v>
      </c>
      <c r="D12" s="76" t="s">
        <v>52</v>
      </c>
      <c r="E12" s="82" t="s">
        <v>153</v>
      </c>
      <c r="G12" s="74" t="s">
        <v>25</v>
      </c>
      <c r="H12" s="74" t="s">
        <v>151</v>
      </c>
      <c r="I12" s="74" t="s">
        <v>154</v>
      </c>
      <c r="J12" s="74" t="s">
        <v>52</v>
      </c>
      <c r="K12" s="75" t="s">
        <v>153</v>
      </c>
      <c r="M12" s="88" t="s">
        <v>161</v>
      </c>
      <c r="N12" s="88">
        <v>17495.22</v>
      </c>
      <c r="O12" s="89">
        <v>0.08</v>
      </c>
      <c r="P12" s="90">
        <f t="shared" si="0"/>
        <v>1399.6176</v>
      </c>
      <c r="Q12" s="65">
        <v>0</v>
      </c>
      <c r="R12" s="90">
        <f t="shared" si="1"/>
        <v>1399.6176</v>
      </c>
    </row>
    <row r="13" spans="1:18">
      <c r="A13" s="4" t="s">
        <v>76</v>
      </c>
      <c r="B13" s="4">
        <v>1072.1</v>
      </c>
      <c r="C13" s="77">
        <v>0.03</v>
      </c>
      <c r="D13" s="4">
        <v>0</v>
      </c>
      <c r="E13" s="65">
        <f>B13*C13+D13</f>
        <v>32.163</v>
      </c>
      <c r="G13" s="83" t="s">
        <v>80</v>
      </c>
      <c r="H13" s="83">
        <v>80046.81</v>
      </c>
      <c r="I13" s="77">
        <v>0.1</v>
      </c>
      <c r="J13" s="4">
        <v>300</v>
      </c>
      <c r="K13" s="65">
        <f t="shared" ref="K13:K18" si="2">H13*I13+J13</f>
        <v>8304.681</v>
      </c>
      <c r="M13" s="88" t="s">
        <v>158</v>
      </c>
      <c r="N13" s="78">
        <v>4390.29</v>
      </c>
      <c r="O13" s="89">
        <v>0.09</v>
      </c>
      <c r="P13" s="90">
        <f t="shared" si="0"/>
        <v>395.1261</v>
      </c>
      <c r="Q13" s="65">
        <v>0</v>
      </c>
      <c r="R13" s="90">
        <f t="shared" si="1"/>
        <v>395.1261</v>
      </c>
    </row>
    <row r="14" spans="1:18">
      <c r="A14" s="4" t="s">
        <v>70</v>
      </c>
      <c r="B14" s="4">
        <v>127823.32</v>
      </c>
      <c r="C14" s="77">
        <v>0.07</v>
      </c>
      <c r="D14" s="4">
        <v>1000</v>
      </c>
      <c r="E14" s="65">
        <f t="shared" ref="E14:E21" si="3">B14*C14+D14</f>
        <v>9947.6324</v>
      </c>
      <c r="G14" s="83" t="s">
        <v>82</v>
      </c>
      <c r="H14" s="83">
        <v>75505.68</v>
      </c>
      <c r="I14" s="77">
        <v>0.1</v>
      </c>
      <c r="J14" s="4">
        <v>0</v>
      </c>
      <c r="K14" s="65">
        <f t="shared" si="2"/>
        <v>7550.568</v>
      </c>
      <c r="M14" s="4" t="s">
        <v>159</v>
      </c>
      <c r="N14" s="4">
        <v>3302.08</v>
      </c>
      <c r="O14" s="89">
        <v>0.11</v>
      </c>
      <c r="P14" s="90">
        <f t="shared" si="0"/>
        <v>363.2288</v>
      </c>
      <c r="Q14" s="65">
        <v>0</v>
      </c>
      <c r="R14" s="90">
        <f t="shared" si="1"/>
        <v>363.2288</v>
      </c>
    </row>
    <row r="15" spans="1:18">
      <c r="A15" s="4" t="s">
        <v>73</v>
      </c>
      <c r="B15" s="4">
        <v>72583.78</v>
      </c>
      <c r="C15" s="77">
        <v>0.05</v>
      </c>
      <c r="D15" s="4">
        <v>0</v>
      </c>
      <c r="E15" s="65">
        <f t="shared" si="3"/>
        <v>3629.189</v>
      </c>
      <c r="G15" s="83" t="s">
        <v>66</v>
      </c>
      <c r="H15" s="83">
        <v>95564.98</v>
      </c>
      <c r="I15" s="77">
        <v>0.1</v>
      </c>
      <c r="J15" s="4">
        <v>300</v>
      </c>
      <c r="K15" s="65">
        <f t="shared" si="2"/>
        <v>9856.498</v>
      </c>
      <c r="M15" s="79" t="s">
        <v>108</v>
      </c>
      <c r="N15" s="79">
        <f>SUM(N9:N14)</f>
        <v>121907.03</v>
      </c>
      <c r="O15" s="91"/>
      <c r="P15" s="92">
        <f>SUM(P9:P14)</f>
        <v>6784.1135</v>
      </c>
      <c r="Q15" s="80"/>
      <c r="R15" s="92">
        <f>SUM(R9:R14)</f>
        <v>6784.1135</v>
      </c>
    </row>
    <row r="16" spans="1:11">
      <c r="A16" s="4" t="s">
        <v>74</v>
      </c>
      <c r="B16" s="4">
        <v>158831.3</v>
      </c>
      <c r="C16" s="77">
        <v>0.09</v>
      </c>
      <c r="D16" s="4">
        <v>1500</v>
      </c>
      <c r="E16" s="65">
        <f t="shared" si="3"/>
        <v>15794.817</v>
      </c>
      <c r="G16" s="83" t="s">
        <v>83</v>
      </c>
      <c r="H16" s="83">
        <v>42320.37</v>
      </c>
      <c r="I16" s="77">
        <v>0.1</v>
      </c>
      <c r="J16" s="4">
        <v>0</v>
      </c>
      <c r="K16" s="65">
        <f t="shared" si="2"/>
        <v>4232.037</v>
      </c>
    </row>
    <row r="17" spans="1:18">
      <c r="A17" s="84" t="s">
        <v>97</v>
      </c>
      <c r="B17" s="4">
        <v>4143.68</v>
      </c>
      <c r="C17" s="77">
        <v>0.03</v>
      </c>
      <c r="D17" s="4">
        <v>0</v>
      </c>
      <c r="E17" s="65" t="s">
        <v>156</v>
      </c>
      <c r="G17" s="83" t="s">
        <v>81</v>
      </c>
      <c r="H17" s="83">
        <v>50632.59</v>
      </c>
      <c r="I17" s="77">
        <v>0.1</v>
      </c>
      <c r="J17" s="4">
        <v>0</v>
      </c>
      <c r="K17" s="65">
        <f t="shared" si="2"/>
        <v>5063.259</v>
      </c>
      <c r="M17" s="78" t="s">
        <v>86</v>
      </c>
      <c r="N17" s="78" t="s">
        <v>151</v>
      </c>
      <c r="O17" s="86" t="s">
        <v>152</v>
      </c>
      <c r="P17" s="87" t="s">
        <v>32</v>
      </c>
      <c r="Q17" s="86" t="s">
        <v>95</v>
      </c>
      <c r="R17" s="87" t="s">
        <v>153</v>
      </c>
    </row>
    <row r="18" spans="1:18">
      <c r="A18" s="4" t="s">
        <v>72</v>
      </c>
      <c r="B18" s="4">
        <v>69403.02</v>
      </c>
      <c r="C18" s="77">
        <v>0.05</v>
      </c>
      <c r="D18" s="4">
        <v>0</v>
      </c>
      <c r="E18" s="65">
        <f t="shared" si="3"/>
        <v>3470.151</v>
      </c>
      <c r="G18" s="83" t="s">
        <v>78</v>
      </c>
      <c r="H18" s="83">
        <v>3786.53</v>
      </c>
      <c r="I18" s="77">
        <v>0.1</v>
      </c>
      <c r="J18" s="4">
        <v>0</v>
      </c>
      <c r="K18" s="65">
        <f t="shared" si="2"/>
        <v>378.653</v>
      </c>
      <c r="M18" s="88" t="s">
        <v>155</v>
      </c>
      <c r="N18" s="88">
        <v>42551.95</v>
      </c>
      <c r="O18" s="89">
        <v>0.035</v>
      </c>
      <c r="P18" s="90">
        <f t="shared" ref="P18:P23" si="4">N18*O18</f>
        <v>1489.31825</v>
      </c>
      <c r="Q18" s="65">
        <v>0</v>
      </c>
      <c r="R18" s="90">
        <f t="shared" ref="R18:R23" si="5">P18+Q18</f>
        <v>1489.31825</v>
      </c>
    </row>
    <row r="19" spans="1:18">
      <c r="A19" s="4" t="s">
        <v>68</v>
      </c>
      <c r="B19" s="4">
        <v>112384.29</v>
      </c>
      <c r="C19" s="77">
        <v>0.06</v>
      </c>
      <c r="D19" s="4">
        <v>600</v>
      </c>
      <c r="E19" s="65">
        <f t="shared" si="3"/>
        <v>7343.0574</v>
      </c>
      <c r="G19" s="79" t="s">
        <v>108</v>
      </c>
      <c r="H19" s="79">
        <f>SUM(H13:H18)</f>
        <v>347856.96</v>
      </c>
      <c r="I19" s="79"/>
      <c r="J19" s="79">
        <f>SUM(J13:J18)</f>
        <v>600</v>
      </c>
      <c r="K19" s="80">
        <f>SUM(K13:K18)</f>
        <v>35385.696</v>
      </c>
      <c r="M19" s="88" t="s">
        <v>160</v>
      </c>
      <c r="N19" s="88">
        <v>12679.96</v>
      </c>
      <c r="O19" s="89">
        <v>0.055</v>
      </c>
      <c r="P19" s="90">
        <f t="shared" si="4"/>
        <v>697.3978</v>
      </c>
      <c r="Q19" s="65">
        <v>0</v>
      </c>
      <c r="R19" s="90">
        <f t="shared" si="5"/>
        <v>697.3978</v>
      </c>
    </row>
    <row r="20" spans="1:18">
      <c r="A20" s="4" t="s">
        <v>75</v>
      </c>
      <c r="B20" s="4">
        <v>2644.85</v>
      </c>
      <c r="C20" s="77">
        <v>0.03</v>
      </c>
      <c r="D20" s="4">
        <v>0</v>
      </c>
      <c r="E20" s="65">
        <f t="shared" si="3"/>
        <v>79.3455</v>
      </c>
      <c r="M20" s="88" t="s">
        <v>157</v>
      </c>
      <c r="N20" s="88">
        <v>18079.34</v>
      </c>
      <c r="O20" s="89">
        <v>0.055</v>
      </c>
      <c r="P20" s="90">
        <f t="shared" si="4"/>
        <v>994.3637</v>
      </c>
      <c r="Q20" s="65">
        <v>0</v>
      </c>
      <c r="R20" s="90">
        <f t="shared" si="5"/>
        <v>994.3637</v>
      </c>
    </row>
    <row r="21" spans="1:18">
      <c r="A21" s="4" t="s">
        <v>71</v>
      </c>
      <c r="B21" s="4">
        <v>112420.91</v>
      </c>
      <c r="C21" s="77">
        <v>0.06</v>
      </c>
      <c r="D21" s="4">
        <v>600</v>
      </c>
      <c r="E21" s="65">
        <f t="shared" si="3"/>
        <v>7345.2546</v>
      </c>
      <c r="M21" s="88" t="s">
        <v>161</v>
      </c>
      <c r="N21" s="88">
        <v>17999.7</v>
      </c>
      <c r="O21" s="89">
        <v>0.08</v>
      </c>
      <c r="P21" s="90">
        <f t="shared" si="4"/>
        <v>1439.976</v>
      </c>
      <c r="Q21" s="65">
        <v>0</v>
      </c>
      <c r="R21" s="90">
        <f t="shared" si="5"/>
        <v>1439.976</v>
      </c>
    </row>
    <row r="22" spans="1:18">
      <c r="A22" s="79" t="s">
        <v>108</v>
      </c>
      <c r="B22" s="79">
        <f>SUM(B13:B21)</f>
        <v>661307.25</v>
      </c>
      <c r="C22" s="79"/>
      <c r="D22" s="79">
        <f>SUM(D13:D21)</f>
        <v>3700</v>
      </c>
      <c r="E22" s="80">
        <f>SUM(E13:E21)</f>
        <v>47641.6099</v>
      </c>
      <c r="M22" s="88" t="s">
        <v>158</v>
      </c>
      <c r="N22" s="78">
        <v>13616.18</v>
      </c>
      <c r="O22" s="89">
        <v>0.09</v>
      </c>
      <c r="P22" s="90">
        <f t="shared" si="4"/>
        <v>1225.4562</v>
      </c>
      <c r="Q22" s="65">
        <v>0</v>
      </c>
      <c r="R22" s="90">
        <f t="shared" si="5"/>
        <v>1225.4562</v>
      </c>
    </row>
    <row r="23" spans="13:18">
      <c r="M23" s="4" t="s">
        <v>159</v>
      </c>
      <c r="N23" s="4">
        <v>5422.26</v>
      </c>
      <c r="O23" s="89">
        <v>0.11</v>
      </c>
      <c r="P23" s="90">
        <f t="shared" si="4"/>
        <v>596.4486</v>
      </c>
      <c r="Q23" s="65">
        <v>0</v>
      </c>
      <c r="R23" s="90">
        <f t="shared" si="5"/>
        <v>596.4486</v>
      </c>
    </row>
    <row r="24" spans="13:18">
      <c r="M24" s="79" t="s">
        <v>108</v>
      </c>
      <c r="N24" s="79">
        <v>110349.39</v>
      </c>
      <c r="O24" s="91"/>
      <c r="P24" s="92">
        <f>SUM(P18:P23)</f>
        <v>6442.96055</v>
      </c>
      <c r="Q24" s="80"/>
      <c r="R24" s="92">
        <f>SUM(R18:R23)</f>
        <v>6442.96055</v>
      </c>
    </row>
    <row r="25" ht="100" customHeight="1" spans="1:11">
      <c r="A25" t="str">
        <f>_xlfn.DISPIMG("ID_31B794E2EAA64F64A102616D198644B1",1)</f>
        <v>=DISPIMG("ID_31B794E2EAA64F64A102616D198644B1",1)</v>
      </c>
      <c r="E25" s="85" t="str">
        <f>_xlfn.DISPIMG("ID_8472A68960B34D97AF83D1E793821752",1)</f>
        <v>=DISPIMG("ID_8472A68960B34D97AF83D1E793821752",1)</v>
      </c>
      <c r="H25" t="str">
        <f>_xlfn.DISPIMG("ID_DC8087F8F9734C3C84CBAEEA8CBE0045",1)</f>
        <v>=DISPIMG("ID_DC8087F8F9734C3C84CBAEEA8CBE0045",1)</v>
      </c>
      <c r="K25" s="93" t="str">
        <f>_xlfn.DISPIMG("ID_A59FD0C798174CABB8E34620A393459B",1)</f>
        <v>=DISPIMG("ID_A59FD0C798174CABB8E34620A393459B",1)</v>
      </c>
    </row>
  </sheetData>
  <mergeCells count="4">
    <mergeCell ref="A1:E1"/>
    <mergeCell ref="H1:K1"/>
    <mergeCell ref="A11:E11"/>
    <mergeCell ref="G11:K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20"/>
  <sheetViews>
    <sheetView topLeftCell="A5" workbookViewId="0">
      <selection activeCell="G11" sqref="G11"/>
    </sheetView>
  </sheetViews>
  <sheetFormatPr defaultColWidth="9" defaultRowHeight="18" customHeight="1" outlineLevelCol="1"/>
  <cols>
    <col min="1" max="1" width="11.375" style="61" customWidth="1"/>
    <col min="2" max="2" width="13.5" style="62" customWidth="1"/>
    <col min="3" max="16384" width="9" style="61"/>
  </cols>
  <sheetData>
    <row r="1" ht="32" customHeight="1" spans="1:2">
      <c r="A1" s="63" t="s">
        <v>162</v>
      </c>
      <c r="B1" s="64" t="s">
        <v>163</v>
      </c>
    </row>
    <row r="2" ht="19" customHeight="1" spans="1:2">
      <c r="A2" s="7" t="s">
        <v>82</v>
      </c>
      <c r="B2" s="65">
        <v>292.56</v>
      </c>
    </row>
    <row r="3" ht="19" customHeight="1" spans="1:2">
      <c r="A3" s="7" t="s">
        <v>74</v>
      </c>
      <c r="B3" s="65">
        <v>1030.265</v>
      </c>
    </row>
    <row r="4" ht="19" customHeight="1" spans="1:2">
      <c r="A4" s="7" t="s">
        <v>68</v>
      </c>
      <c r="B4" s="65">
        <v>951.265</v>
      </c>
    </row>
    <row r="5" ht="19" customHeight="1" spans="1:2">
      <c r="A5" s="7" t="s">
        <v>71</v>
      </c>
      <c r="B5" s="65">
        <v>778.1</v>
      </c>
    </row>
    <row r="6" ht="19" customHeight="1" spans="1:2">
      <c r="A6" s="7" t="s">
        <v>76</v>
      </c>
      <c r="B6" s="65">
        <v>33.05</v>
      </c>
    </row>
    <row r="7" ht="19" customHeight="1" spans="1:2">
      <c r="A7" s="7" t="s">
        <v>73</v>
      </c>
      <c r="B7" s="65">
        <v>854.01</v>
      </c>
    </row>
    <row r="8" ht="19" customHeight="1" spans="1:2">
      <c r="A8" s="7" t="s">
        <v>72</v>
      </c>
      <c r="B8" s="65">
        <v>819.69</v>
      </c>
    </row>
    <row r="9" ht="19" customHeight="1" spans="1:2">
      <c r="A9" s="7" t="s">
        <v>75</v>
      </c>
      <c r="B9" s="65">
        <v>25.895</v>
      </c>
    </row>
    <row r="10" ht="19" customHeight="1" spans="1:2">
      <c r="A10" s="4" t="s">
        <v>85</v>
      </c>
      <c r="B10" s="65">
        <v>751.8</v>
      </c>
    </row>
    <row r="11" ht="19" customHeight="1" spans="1:2">
      <c r="A11" s="4" t="s">
        <v>86</v>
      </c>
      <c r="B11" s="65">
        <v>629.16</v>
      </c>
    </row>
    <row r="12" ht="19" customHeight="1" spans="1:2">
      <c r="A12" s="4" t="s">
        <v>81</v>
      </c>
      <c r="B12" s="65">
        <v>357.48</v>
      </c>
    </row>
    <row r="13" ht="19" customHeight="1" spans="1:2">
      <c r="A13" s="4" t="s">
        <v>83</v>
      </c>
      <c r="B13" s="65">
        <v>317.34</v>
      </c>
    </row>
    <row r="14" ht="19" customHeight="1" spans="1:2">
      <c r="A14" s="4" t="s">
        <v>80</v>
      </c>
      <c r="B14" s="65">
        <v>329.28</v>
      </c>
    </row>
    <row r="15" ht="19" customHeight="1" spans="1:2">
      <c r="A15" s="4" t="s">
        <v>78</v>
      </c>
      <c r="B15" s="65">
        <v>397.68</v>
      </c>
    </row>
    <row r="16" ht="19" customHeight="1" spans="1:2">
      <c r="A16" s="4" t="s">
        <v>87</v>
      </c>
      <c r="B16" s="65">
        <v>648.3</v>
      </c>
    </row>
    <row r="17" ht="19" customHeight="1" spans="1:2">
      <c r="A17" s="4" t="s">
        <v>70</v>
      </c>
      <c r="B17" s="65">
        <v>586.74</v>
      </c>
    </row>
    <row r="18" ht="19" customHeight="1" spans="1:2">
      <c r="A18" s="4" t="s">
        <v>66</v>
      </c>
      <c r="B18" s="65">
        <v>741</v>
      </c>
    </row>
    <row r="19" ht="19" customHeight="1" spans="1:2">
      <c r="A19" s="4" t="s">
        <v>64</v>
      </c>
      <c r="B19" s="65">
        <v>1123.44</v>
      </c>
    </row>
    <row r="20" customHeight="1" spans="1:2">
      <c r="A20" s="66" t="s">
        <v>108</v>
      </c>
      <c r="B20" s="67">
        <f>SUM(B2:B19)</f>
        <v>10667.055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K38"/>
  <sheetViews>
    <sheetView zoomScale="115" zoomScaleNormal="115" workbookViewId="0">
      <pane ySplit="2" topLeftCell="A25" activePane="bottomLeft" state="frozen"/>
      <selection/>
      <selection pane="bottomLeft" activeCell="C27" sqref="C27:C29"/>
    </sheetView>
  </sheetViews>
  <sheetFormatPr defaultColWidth="9" defaultRowHeight="19" customHeight="1"/>
  <cols>
    <col min="1" max="1" width="10.875" style="46" customWidth="1"/>
    <col min="2" max="2" width="20.375" style="47" customWidth="1"/>
    <col min="3" max="3" width="11.375" style="47" customWidth="1"/>
    <col min="4" max="4" width="11.625" style="47" customWidth="1"/>
    <col min="5" max="5" width="18.875" style="47" customWidth="1"/>
    <col min="6" max="6" width="9" style="45"/>
    <col min="7" max="7" width="14.375" customWidth="1"/>
    <col min="8" max="8" width="16.625" customWidth="1"/>
    <col min="9" max="11" width="14.375" customWidth="1"/>
    <col min="12" max="12" width="9.375" style="45"/>
    <col min="13" max="16384" width="9" style="45"/>
  </cols>
  <sheetData>
    <row r="1" customHeight="1" spans="1:11">
      <c r="A1" s="48" t="s">
        <v>164</v>
      </c>
      <c r="B1" s="48"/>
      <c r="C1" s="48"/>
      <c r="D1" s="48"/>
      <c r="E1" s="48"/>
      <c r="G1" s="49" t="s">
        <v>165</v>
      </c>
      <c r="H1" s="49"/>
      <c r="I1" s="49"/>
      <c r="J1" s="49"/>
      <c r="K1" s="49"/>
    </row>
    <row r="2" s="45" customFormat="1" ht="22" customHeight="1" spans="1:11">
      <c r="A2" s="50" t="s">
        <v>166</v>
      </c>
      <c r="B2" s="50" t="s">
        <v>2</v>
      </c>
      <c r="C2" s="50" t="s">
        <v>3</v>
      </c>
      <c r="D2" s="50" t="s">
        <v>25</v>
      </c>
      <c r="E2" s="50" t="s">
        <v>167</v>
      </c>
      <c r="F2" s="51"/>
      <c r="G2" s="50" t="s">
        <v>166</v>
      </c>
      <c r="H2" s="50" t="s">
        <v>2</v>
      </c>
      <c r="I2" s="50" t="s">
        <v>3</v>
      </c>
      <c r="J2" s="50" t="s">
        <v>25</v>
      </c>
      <c r="K2" s="50" t="s">
        <v>167</v>
      </c>
    </row>
    <row r="3" s="45" customFormat="1" customHeight="1" spans="1:11">
      <c r="A3" s="52">
        <v>45419</v>
      </c>
      <c r="B3" s="38" t="s">
        <v>168</v>
      </c>
      <c r="C3" s="38">
        <v>72</v>
      </c>
      <c r="D3" s="53" t="s">
        <v>64</v>
      </c>
      <c r="E3" s="34" t="s">
        <v>17</v>
      </c>
      <c r="F3" s="51"/>
      <c r="G3" s="34">
        <v>45421</v>
      </c>
      <c r="H3" s="34" t="s">
        <v>169</v>
      </c>
      <c r="I3" s="7">
        <v>18</v>
      </c>
      <c r="J3" s="53" t="s">
        <v>91</v>
      </c>
      <c r="K3" s="4" t="s">
        <v>6</v>
      </c>
    </row>
    <row r="4" s="45" customFormat="1" customHeight="1" spans="1:11">
      <c r="A4" s="34">
        <v>45420</v>
      </c>
      <c r="B4" s="7" t="s">
        <v>170</v>
      </c>
      <c r="C4" s="7">
        <v>900</v>
      </c>
      <c r="D4" s="53" t="s">
        <v>64</v>
      </c>
      <c r="E4" s="7" t="s">
        <v>114</v>
      </c>
      <c r="F4" s="51"/>
      <c r="G4" s="34">
        <v>45422</v>
      </c>
      <c r="H4" s="34" t="s">
        <v>171</v>
      </c>
      <c r="I4" s="7">
        <v>11</v>
      </c>
      <c r="J4" s="53" t="s">
        <v>91</v>
      </c>
      <c r="K4" s="4" t="s">
        <v>6</v>
      </c>
    </row>
    <row r="5" s="45" customFormat="1" customHeight="1" spans="1:11">
      <c r="A5" s="34">
        <v>45420</v>
      </c>
      <c r="B5" s="7" t="s">
        <v>172</v>
      </c>
      <c r="C5" s="7">
        <v>1500</v>
      </c>
      <c r="D5" s="53" t="s">
        <v>64</v>
      </c>
      <c r="E5" s="7" t="s">
        <v>114</v>
      </c>
      <c r="F5" s="51"/>
      <c r="G5" s="34">
        <v>45426</v>
      </c>
      <c r="H5" s="34" t="s">
        <v>173</v>
      </c>
      <c r="I5" s="7">
        <v>11</v>
      </c>
      <c r="J5" s="53" t="s">
        <v>91</v>
      </c>
      <c r="K5" s="4" t="s">
        <v>6</v>
      </c>
    </row>
    <row r="6" s="45" customFormat="1" customHeight="1" spans="1:11">
      <c r="A6" s="34">
        <v>45420</v>
      </c>
      <c r="B6" s="38" t="s">
        <v>174</v>
      </c>
      <c r="C6" s="38">
        <v>1500</v>
      </c>
      <c r="D6" s="53" t="s">
        <v>64</v>
      </c>
      <c r="E6" s="7" t="s">
        <v>114</v>
      </c>
      <c r="G6" s="54">
        <v>45425</v>
      </c>
      <c r="H6" s="53" t="s">
        <v>175</v>
      </c>
      <c r="I6" s="53">
        <v>200</v>
      </c>
      <c r="J6" s="53" t="s">
        <v>176</v>
      </c>
      <c r="K6" s="4" t="s">
        <v>8</v>
      </c>
    </row>
    <row r="7" s="45" customFormat="1" customHeight="1" spans="1:11">
      <c r="A7" s="34">
        <v>45420</v>
      </c>
      <c r="B7" s="7" t="s">
        <v>177</v>
      </c>
      <c r="C7" s="7">
        <v>900</v>
      </c>
      <c r="D7" s="53" t="s">
        <v>64</v>
      </c>
      <c r="E7" s="7" t="s">
        <v>114</v>
      </c>
      <c r="G7" s="54">
        <v>45425</v>
      </c>
      <c r="H7" s="53" t="s">
        <v>178</v>
      </c>
      <c r="I7" s="53">
        <v>3800</v>
      </c>
      <c r="J7" s="53" t="s">
        <v>176</v>
      </c>
      <c r="K7" s="4" t="s">
        <v>8</v>
      </c>
    </row>
    <row r="8" s="45" customFormat="1" customHeight="1" spans="1:11">
      <c r="A8" s="34">
        <v>45423</v>
      </c>
      <c r="B8" s="34" t="s">
        <v>179</v>
      </c>
      <c r="C8" s="55">
        <v>22.7</v>
      </c>
      <c r="D8" s="53" t="s">
        <v>91</v>
      </c>
      <c r="E8" s="34" t="s">
        <v>17</v>
      </c>
      <c r="G8" s="34">
        <v>45428</v>
      </c>
      <c r="H8" s="34" t="s">
        <v>16</v>
      </c>
      <c r="I8" s="55">
        <v>299.55</v>
      </c>
      <c r="J8" s="53" t="s">
        <v>180</v>
      </c>
      <c r="K8" s="7" t="s">
        <v>114</v>
      </c>
    </row>
    <row r="9" s="45" customFormat="1" customHeight="1" spans="1:11">
      <c r="A9" s="34">
        <v>45423</v>
      </c>
      <c r="B9" s="34" t="s">
        <v>181</v>
      </c>
      <c r="C9" s="7">
        <v>20.6</v>
      </c>
      <c r="D9" s="53" t="s">
        <v>91</v>
      </c>
      <c r="E9" s="34" t="s">
        <v>17</v>
      </c>
      <c r="G9" s="39">
        <v>45442</v>
      </c>
      <c r="H9" s="37" t="s">
        <v>14</v>
      </c>
      <c r="I9" s="37">
        <v>9250</v>
      </c>
      <c r="J9" s="53" t="s">
        <v>176</v>
      </c>
      <c r="K9" s="37" t="s">
        <v>14</v>
      </c>
    </row>
    <row r="10" s="45" customFormat="1" customHeight="1" spans="1:5">
      <c r="A10" s="34">
        <v>45423</v>
      </c>
      <c r="B10" s="34" t="s">
        <v>182</v>
      </c>
      <c r="C10" s="55">
        <v>10.64</v>
      </c>
      <c r="D10" s="53" t="s">
        <v>91</v>
      </c>
      <c r="E10" s="34" t="s">
        <v>17</v>
      </c>
    </row>
    <row r="11" s="45" customFormat="1" customHeight="1" spans="1:9">
      <c r="A11" s="34">
        <v>45423</v>
      </c>
      <c r="B11" s="34" t="s">
        <v>183</v>
      </c>
      <c r="C11" s="7">
        <v>33</v>
      </c>
      <c r="D11" s="53" t="s">
        <v>91</v>
      </c>
      <c r="E11" s="34" t="s">
        <v>17</v>
      </c>
      <c r="H11" s="36" t="s">
        <v>108</v>
      </c>
      <c r="I11" s="36">
        <f>SUM(I3:I9)</f>
        <v>13589.55</v>
      </c>
    </row>
    <row r="12" s="45" customFormat="1" customHeight="1" spans="1:5">
      <c r="A12" s="34">
        <v>45423</v>
      </c>
      <c r="B12" s="4" t="s">
        <v>184</v>
      </c>
      <c r="C12" s="53">
        <v>8.86</v>
      </c>
      <c r="D12" s="53" t="s">
        <v>91</v>
      </c>
      <c r="E12" s="34" t="s">
        <v>17</v>
      </c>
    </row>
    <row r="13" s="45" customFormat="1" customHeight="1" spans="1:5">
      <c r="A13" s="34">
        <v>45423</v>
      </c>
      <c r="B13" s="4" t="s">
        <v>185</v>
      </c>
      <c r="C13" s="53">
        <v>25.36</v>
      </c>
      <c r="D13" s="53" t="s">
        <v>91</v>
      </c>
      <c r="E13" s="34" t="s">
        <v>17</v>
      </c>
    </row>
    <row r="14" s="45" customFormat="1" customHeight="1" spans="1:5">
      <c r="A14" s="34">
        <v>45426</v>
      </c>
      <c r="B14" s="34" t="s">
        <v>186</v>
      </c>
      <c r="C14" s="55">
        <v>54</v>
      </c>
      <c r="D14" s="53" t="s">
        <v>91</v>
      </c>
      <c r="E14" s="34" t="s">
        <v>17</v>
      </c>
    </row>
    <row r="15" s="45" customFormat="1" customHeight="1" spans="1:6">
      <c r="A15" s="34">
        <v>45427</v>
      </c>
      <c r="B15" s="34" t="s">
        <v>187</v>
      </c>
      <c r="C15" s="55">
        <v>96</v>
      </c>
      <c r="D15" s="53" t="s">
        <v>64</v>
      </c>
      <c r="E15" s="34" t="s">
        <v>17</v>
      </c>
      <c r="F15"/>
    </row>
    <row r="16" s="45" customFormat="1" customHeight="1" spans="1:6">
      <c r="A16" s="34">
        <v>45428</v>
      </c>
      <c r="B16" s="34" t="s">
        <v>188</v>
      </c>
      <c r="C16" s="55">
        <v>500</v>
      </c>
      <c r="D16" s="53" t="s">
        <v>64</v>
      </c>
      <c r="E16" s="4" t="s">
        <v>13</v>
      </c>
      <c r="F16"/>
    </row>
    <row r="17" s="45" customFormat="1" customHeight="1" spans="1:5">
      <c r="A17" s="34">
        <v>45428</v>
      </c>
      <c r="B17" s="34" t="s">
        <v>186</v>
      </c>
      <c r="C17" s="55">
        <v>32.6</v>
      </c>
      <c r="D17" s="53" t="s">
        <v>91</v>
      </c>
      <c r="E17" s="34" t="s">
        <v>17</v>
      </c>
    </row>
    <row r="18" s="45" customFormat="1" customHeight="1" spans="1:5">
      <c r="A18" s="34" t="s">
        <v>189</v>
      </c>
      <c r="B18" s="34" t="s">
        <v>186</v>
      </c>
      <c r="C18" s="55">
        <v>45.6</v>
      </c>
      <c r="D18" s="53" t="s">
        <v>91</v>
      </c>
      <c r="E18" s="34" t="s">
        <v>17</v>
      </c>
    </row>
    <row r="19" s="45" customFormat="1" customHeight="1" spans="1:6">
      <c r="A19" s="34" t="s">
        <v>189</v>
      </c>
      <c r="B19" s="34" t="s">
        <v>190</v>
      </c>
      <c r="C19" s="55">
        <v>17.5</v>
      </c>
      <c r="D19" s="53" t="s">
        <v>91</v>
      </c>
      <c r="E19" s="34" t="s">
        <v>17</v>
      </c>
      <c r="F19"/>
    </row>
    <row r="20" s="45" customFormat="1" customHeight="1" spans="1:6">
      <c r="A20" s="34" t="s">
        <v>191</v>
      </c>
      <c r="B20" s="34" t="s">
        <v>192</v>
      </c>
      <c r="C20" s="7">
        <v>97</v>
      </c>
      <c r="D20" s="53" t="s">
        <v>91</v>
      </c>
      <c r="E20" s="34" t="s">
        <v>17</v>
      </c>
      <c r="F20"/>
    </row>
    <row r="21" s="45" customFormat="1" customHeight="1" spans="1:6">
      <c r="A21" s="34">
        <v>45435</v>
      </c>
      <c r="B21" s="34" t="s">
        <v>192</v>
      </c>
      <c r="C21" s="7">
        <v>35.65</v>
      </c>
      <c r="D21" s="53" t="s">
        <v>91</v>
      </c>
      <c r="E21" s="34" t="s">
        <v>17</v>
      </c>
      <c r="F21"/>
    </row>
    <row r="22" s="45" customFormat="1" customHeight="1" spans="1:6">
      <c r="A22" s="34">
        <v>45435</v>
      </c>
      <c r="B22" s="34" t="s">
        <v>188</v>
      </c>
      <c r="C22" s="55">
        <v>500</v>
      </c>
      <c r="D22" s="53" t="s">
        <v>64</v>
      </c>
      <c r="E22" s="4" t="s">
        <v>13</v>
      </c>
      <c r="F22"/>
    </row>
    <row r="23" s="45" customFormat="1" customHeight="1" spans="1:6">
      <c r="A23" s="34">
        <v>45435</v>
      </c>
      <c r="B23" s="34" t="s">
        <v>186</v>
      </c>
      <c r="C23" s="55">
        <v>21.91</v>
      </c>
      <c r="D23" s="53" t="s">
        <v>91</v>
      </c>
      <c r="E23" s="34" t="s">
        <v>17</v>
      </c>
      <c r="F23"/>
    </row>
    <row r="24" s="45" customFormat="1" customHeight="1" spans="1:6">
      <c r="A24" s="34">
        <v>45436</v>
      </c>
      <c r="B24" s="34" t="s">
        <v>187</v>
      </c>
      <c r="C24" s="55">
        <v>96</v>
      </c>
      <c r="D24" s="53" t="s">
        <v>64</v>
      </c>
      <c r="E24" s="34" t="s">
        <v>17</v>
      </c>
      <c r="F24"/>
    </row>
    <row r="25" s="45" customFormat="1" customHeight="1" spans="1:6">
      <c r="A25" s="6">
        <v>45440</v>
      </c>
      <c r="B25" s="34" t="s">
        <v>193</v>
      </c>
      <c r="C25" s="55">
        <v>34.8</v>
      </c>
      <c r="D25" s="53" t="s">
        <v>91</v>
      </c>
      <c r="E25" s="34" t="s">
        <v>17</v>
      </c>
      <c r="F25"/>
    </row>
    <row r="26" s="45" customFormat="1" customHeight="1" spans="1:6">
      <c r="A26" s="34">
        <v>45441</v>
      </c>
      <c r="B26" s="34" t="s">
        <v>188</v>
      </c>
      <c r="C26" s="55">
        <v>500</v>
      </c>
      <c r="D26" s="53" t="s">
        <v>64</v>
      </c>
      <c r="E26" s="4" t="s">
        <v>13</v>
      </c>
      <c r="F26"/>
    </row>
    <row r="27" s="45" customFormat="1" customHeight="1" spans="1:6">
      <c r="A27" s="34">
        <v>45421</v>
      </c>
      <c r="B27" s="34" t="s">
        <v>194</v>
      </c>
      <c r="C27" s="55">
        <v>2423</v>
      </c>
      <c r="D27" s="53" t="s">
        <v>176</v>
      </c>
      <c r="E27" s="4" t="s">
        <v>19</v>
      </c>
      <c r="F27"/>
    </row>
    <row r="28" s="45" customFormat="1" customHeight="1" spans="1:6">
      <c r="A28" s="39">
        <v>45443</v>
      </c>
      <c r="B28" s="53" t="s">
        <v>195</v>
      </c>
      <c r="C28" s="53">
        <v>4500</v>
      </c>
      <c r="D28" s="37" t="s">
        <v>176</v>
      </c>
      <c r="E28" s="4" t="s">
        <v>19</v>
      </c>
      <c r="F28"/>
    </row>
    <row r="29" s="45" customFormat="1" customHeight="1" spans="1:6">
      <c r="A29" s="39">
        <v>45443</v>
      </c>
      <c r="B29" s="36" t="s">
        <v>196</v>
      </c>
      <c r="C29" s="37">
        <f>[1]Sheet1!$I$12+[1]Sheet1!$I$22+[1]Sheet1!$I$26</f>
        <v>1526</v>
      </c>
      <c r="D29" s="37" t="s">
        <v>176</v>
      </c>
      <c r="E29" s="4" t="s">
        <v>19</v>
      </c>
      <c r="F29"/>
    </row>
    <row r="30" s="45" customFormat="1" customHeight="1" spans="1:6">
      <c r="A30" s="3">
        <v>45443</v>
      </c>
      <c r="B30" s="56" t="s">
        <v>197</v>
      </c>
      <c r="C30" s="38">
        <f>11000+1680+500+300</f>
        <v>13480</v>
      </c>
      <c r="D30" s="53" t="s">
        <v>176</v>
      </c>
      <c r="E30" s="4" t="s">
        <v>13</v>
      </c>
      <c r="F30"/>
    </row>
    <row r="31" s="45" customFormat="1" customHeight="1" spans="1:6">
      <c r="A31" s="3"/>
      <c r="B31" s="38"/>
      <c r="C31" s="38"/>
      <c r="D31" s="53"/>
      <c r="E31" s="4"/>
      <c r="F31"/>
    </row>
    <row r="32" s="45" customFormat="1" customHeight="1" spans="1:6">
      <c r="A32" s="34"/>
      <c r="B32" s="34"/>
      <c r="C32" s="55"/>
      <c r="D32" s="53"/>
      <c r="E32" s="38"/>
      <c r="F32"/>
    </row>
    <row r="33" s="45" customFormat="1" customHeight="1" spans="1:6">
      <c r="A33" s="57"/>
      <c r="B33" s="38"/>
      <c r="C33" s="58"/>
      <c r="D33" s="58"/>
      <c r="E33" s="38"/>
      <c r="F33"/>
    </row>
    <row r="34" s="45" customFormat="1" customHeight="1" spans="2:6">
      <c r="B34"/>
      <c r="F34"/>
    </row>
    <row r="35" s="45" customFormat="1" customHeight="1" spans="1:5">
      <c r="A35" s="46"/>
      <c r="B35" s="47"/>
      <c r="C35" s="47"/>
      <c r="D35" s="47"/>
      <c r="E35" s="47"/>
    </row>
    <row r="36" s="45" customFormat="1" customHeight="1" spans="1:10">
      <c r="A36" s="46"/>
      <c r="B36" s="36" t="s">
        <v>108</v>
      </c>
      <c r="C36" s="59">
        <f>SUM(C3:C33)</f>
        <v>28953.22</v>
      </c>
      <c r="D36" s="47"/>
      <c r="E36" s="47"/>
      <c r="J36" s="60"/>
    </row>
    <row r="37" s="45" customFormat="1" customHeight="1" spans="1:5">
      <c r="A37" s="46"/>
      <c r="B37" s="47"/>
      <c r="C37" s="47"/>
      <c r="D37" s="47"/>
      <c r="E37" s="47"/>
    </row>
    <row r="38" s="45" customFormat="1" customHeight="1" spans="1:5">
      <c r="A38" s="46"/>
      <c r="B38" s="47"/>
      <c r="C38" s="47"/>
      <c r="D38" s="47"/>
      <c r="E38" s="47"/>
    </row>
  </sheetData>
  <autoFilter ref="A2:E45">
    <extLst/>
  </autoFilter>
  <mergeCells count="2">
    <mergeCell ref="A1:E1"/>
    <mergeCell ref="G1:K1"/>
  </mergeCell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汇总</vt:lpstr>
      <vt:lpstr>业务部工资表</vt:lpstr>
      <vt:lpstr>人事工资表</vt:lpstr>
      <vt:lpstr>组长绩效新</vt:lpstr>
      <vt:lpstr>组长绩效</vt:lpstr>
      <vt:lpstr>员工绩效</vt:lpstr>
      <vt:lpstr>大小月</vt:lpstr>
      <vt:lpstr>短信充值</vt:lpstr>
      <vt:lpstr>日常支出</vt:lpstr>
      <vt:lpstr>短信服务</vt:lpstr>
      <vt:lpstr>5月考勤</vt:lpstr>
      <vt:lpstr>社保医保</vt:lpstr>
      <vt:lpstr>内推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ℳℳ</cp:lastModifiedBy>
  <dcterms:created xsi:type="dcterms:W3CDTF">2023-08-04T02:08:00Z</dcterms:created>
  <dcterms:modified xsi:type="dcterms:W3CDTF">2024-06-18T09:25:34Z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8572726EBA664944BA06A3A6E8954F5E_13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true</vt:bool>
  </property>
</Properties>
</file>